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01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mocratic Governance Portfolio\GF\CCM\CCM funding request\"/>
    </mc:Choice>
  </mc:AlternateContent>
  <bookViews>
    <workbookView xWindow="0" yWindow="0" windowWidth="21600" windowHeight="9510" tabRatio="934"/>
  </bookViews>
  <sheets>
    <sheet name="Costed WorkplanYEAR1" sheetId="1" r:id="rId1"/>
    <sheet name="персонал" sheetId="4" r:id="rId2"/>
    <sheet name="офис " sheetId="5" r:id="rId3"/>
    <sheet name="междун поездка" sheetId="9" r:id="rId4"/>
    <sheet name="встречи СКК и рабоч группы" sheetId="3" r:id="rId5"/>
    <sheet name="ориентационн тренинг" sheetId="10" r:id="rId6"/>
    <sheet name="тех поддержка" sheetId="8" r:id="rId7"/>
    <sheet name="надзорные визиты" sheetId="7" r:id="rId8"/>
    <sheet name="распечатки" sheetId="11" r:id="rId9"/>
    <sheet name="ПРООН" sheetId="6" r:id="rId10"/>
    <sheet name="LISTS" sheetId="2" r:id="rId11"/>
  </sheets>
  <externalReferences>
    <externalReference r:id="rId1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8" l="1"/>
  <c r="C7" i="3"/>
  <c r="C7" i="7"/>
  <c r="P16" i="1"/>
  <c r="F18" i="8"/>
  <c r="F17" i="8"/>
  <c r="F16" i="8"/>
  <c r="C15" i="8"/>
  <c r="F15" i="8" s="1"/>
  <c r="F14" i="8"/>
  <c r="F19" i="8" l="1"/>
  <c r="P12" i="1" s="1"/>
  <c r="C9" i="6"/>
  <c r="C8" i="6"/>
  <c r="C7" i="6"/>
  <c r="H9" i="5"/>
  <c r="F9" i="5"/>
  <c r="F17" i="1"/>
  <c r="H5" i="4"/>
  <c r="F3" i="4"/>
  <c r="E9" i="5"/>
  <c r="F9" i="11" l="1"/>
  <c r="F8" i="11"/>
  <c r="F5" i="11"/>
  <c r="F7" i="11"/>
  <c r="F6" i="11"/>
  <c r="H3" i="4"/>
  <c r="H4" i="4" s="1"/>
  <c r="O12" i="1"/>
  <c r="F10" i="11" l="1"/>
  <c r="P17" i="1" s="1"/>
  <c r="O13" i="1"/>
  <c r="C6" i="8"/>
  <c r="F10" i="10"/>
  <c r="F5" i="10"/>
  <c r="I16" i="5"/>
  <c r="D11" i="10"/>
  <c r="F11" i="10" s="1"/>
  <c r="D12" i="10"/>
  <c r="F12" i="10" s="1"/>
  <c r="D6" i="10"/>
  <c r="F6" i="10" s="1"/>
  <c r="D9" i="10"/>
  <c r="F9" i="10" s="1"/>
  <c r="F8" i="10"/>
  <c r="F7" i="10"/>
  <c r="E7" i="3"/>
  <c r="E6" i="3"/>
  <c r="F14" i="10" l="1"/>
  <c r="P9" i="1" s="1"/>
  <c r="O8" i="1"/>
  <c r="D16" i="3"/>
  <c r="E16" i="3" s="1"/>
  <c r="E15" i="3"/>
  <c r="C7" i="9"/>
  <c r="F9" i="9"/>
  <c r="F8" i="9"/>
  <c r="F7" i="9"/>
  <c r="F6" i="9"/>
  <c r="E17" i="3" l="1"/>
  <c r="E18" i="3" s="1"/>
  <c r="F10" i="9"/>
  <c r="F9" i="8"/>
  <c r="F8" i="8"/>
  <c r="F7" i="8"/>
  <c r="F6" i="8"/>
  <c r="F5" i="8"/>
  <c r="O11" i="1"/>
  <c r="E5" i="7"/>
  <c r="E6" i="7"/>
  <c r="E7" i="7"/>
  <c r="D9" i="6"/>
  <c r="D8" i="6"/>
  <c r="N29" i="1"/>
  <c r="C28" i="1"/>
  <c r="D10" i="6"/>
  <c r="D7" i="6"/>
  <c r="E5" i="6"/>
  <c r="E14" i="5"/>
  <c r="E10" i="5"/>
  <c r="E8" i="5"/>
  <c r="E7" i="5"/>
  <c r="E6" i="5"/>
  <c r="E5" i="5"/>
  <c r="E4" i="5"/>
  <c r="E8" i="3"/>
  <c r="D8" i="3"/>
  <c r="E5" i="3"/>
  <c r="D5" i="3"/>
  <c r="E8" i="7" l="1"/>
  <c r="P11" i="1" s="1"/>
  <c r="E11" i="5"/>
  <c r="C25" i="1" s="1"/>
  <c r="F4" i="4"/>
  <c r="C24" i="1" s="1"/>
  <c r="E9" i="3"/>
  <c r="P8" i="1" s="1"/>
  <c r="F10" i="8"/>
  <c r="P10" i="1" s="1"/>
  <c r="E7" i="6"/>
  <c r="O20" i="1"/>
  <c r="O19" i="1"/>
  <c r="O10" i="1"/>
  <c r="P13" i="1"/>
  <c r="O14" i="1"/>
  <c r="O15" i="1"/>
  <c r="P15" i="1" s="1"/>
  <c r="O16" i="1"/>
  <c r="O17" i="1"/>
  <c r="O18" i="1"/>
  <c r="O9" i="1"/>
  <c r="P21" i="1" l="1"/>
  <c r="E11" i="6"/>
  <c r="C27" i="1" s="1"/>
  <c r="C29" i="1" l="1"/>
  <c r="P30" i="1" s="1"/>
  <c r="P32" i="1" s="1"/>
  <c r="N3" i="1" l="1"/>
</calcChain>
</file>

<file path=xl/comments1.xml><?xml version="1.0" encoding="utf-8"?>
<comments xmlns="http://schemas.openxmlformats.org/spreadsheetml/2006/main">
  <authors>
    <author>Lale Chopanova</author>
  </authors>
  <commentList>
    <comment ref="C24" authorId="0" shapeId="0">
      <text>
        <r>
          <rPr>
            <b/>
            <sz val="9"/>
            <color indexed="81"/>
            <rFont val="Tahoma"/>
            <charset val="1"/>
          </rPr>
          <t>Lale Chopanova:</t>
        </r>
        <r>
          <rPr>
            <sz val="9"/>
            <color indexed="81"/>
            <rFont val="Tahoma"/>
            <charset val="1"/>
          </rPr>
          <t xml:space="preserve">
See worksheet "персонал" - 1 Secretary 50% engagement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Lale Chopanova:</t>
        </r>
        <r>
          <rPr>
            <sz val="9"/>
            <color indexed="81"/>
            <rFont val="Tahoma"/>
            <charset val="1"/>
          </rPr>
          <t xml:space="preserve">
See worksheet "офис"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Lale Chopanova:</t>
        </r>
        <r>
          <rPr>
            <sz val="9"/>
            <color indexed="81"/>
            <rFont val="Tahoma"/>
            <charset val="1"/>
          </rPr>
          <t xml:space="preserve">
This will  be covered by the driver remuneration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Lale Chopanova:</t>
        </r>
        <r>
          <rPr>
            <sz val="9"/>
            <color indexed="81"/>
            <rFont val="Tahoma"/>
            <charset val="1"/>
          </rPr>
          <t xml:space="preserve">
UNDP charges for PO, vouchers, contracts etc - see worksheet "ПРООН"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Lale Chopanova:</t>
        </r>
        <r>
          <rPr>
            <sz val="9"/>
            <color indexed="81"/>
            <rFont val="Tahoma"/>
            <charset val="1"/>
          </rPr>
          <t xml:space="preserve">
7% GMS
</t>
        </r>
      </text>
    </comment>
  </commentList>
</comments>
</file>

<file path=xl/sharedStrings.xml><?xml version="1.0" encoding="utf-8"?>
<sst xmlns="http://schemas.openxmlformats.org/spreadsheetml/2006/main" count="244" uniqueCount="160">
  <si>
    <t>Activities</t>
  </si>
  <si>
    <t>Q1</t>
  </si>
  <si>
    <t>Q2</t>
  </si>
  <si>
    <t>Q3</t>
  </si>
  <si>
    <t>Q4</t>
  </si>
  <si>
    <t>Comments</t>
  </si>
  <si>
    <t>Oversight Committee meetings</t>
  </si>
  <si>
    <t>Technical Working groups meetings</t>
  </si>
  <si>
    <t xml:space="preserve">CCM Elections </t>
  </si>
  <si>
    <t>Annual CCM retreat</t>
  </si>
  <si>
    <t>Constituency engagement meetings (specify in comments)</t>
  </si>
  <si>
    <t>General</t>
  </si>
  <si>
    <t>Oversight</t>
  </si>
  <si>
    <t>Funding Request Preparation</t>
  </si>
  <si>
    <t>Workshop/Meeting for funding request development</t>
  </si>
  <si>
    <t>Others….(Please specify)</t>
  </si>
  <si>
    <t>Total</t>
  </si>
  <si>
    <t>Others</t>
  </si>
  <si>
    <t>Human Resources</t>
  </si>
  <si>
    <t>Fixed Costs</t>
  </si>
  <si>
    <t>Total Year</t>
  </si>
  <si>
    <t>Vehicule maintenance</t>
  </si>
  <si>
    <t xml:space="preserve">Technical Support </t>
  </si>
  <si>
    <t>CCM Secretariat positions</t>
  </si>
  <si>
    <t>Executive Secretary</t>
  </si>
  <si>
    <t>Oversight Officer</t>
  </si>
  <si>
    <t>Finance Officer</t>
  </si>
  <si>
    <t>Admin Assistant</t>
  </si>
  <si>
    <t xml:space="preserve">CCM Name: </t>
  </si>
  <si>
    <t>Human Resources (Secretariat staffs)</t>
  </si>
  <si>
    <t>CCM Plenary/General Assembly meeting</t>
  </si>
  <si>
    <t>Office rental and supplies (including equipement)</t>
  </si>
  <si>
    <t>Planning and Administration</t>
  </si>
  <si>
    <t>Overhead cost (i.e. fees to manage CCM funding)</t>
  </si>
  <si>
    <t>Technical Assistance</t>
  </si>
  <si>
    <t>Constituency consultations for non-governmental constituencies only (e.g. civil society and private sector) and processes to promote and improve the quality of stakeholder participation, including travel costs and per diems for civil society participation.</t>
  </si>
  <si>
    <t>CCM Induction</t>
  </si>
  <si>
    <t>Year 1</t>
  </si>
  <si>
    <t>Year of Agreement:</t>
  </si>
  <si>
    <t>Starting Date:</t>
  </si>
  <si>
    <t>Site Visits / Monitoring Visits</t>
  </si>
  <si>
    <t>Budget</t>
  </si>
  <si>
    <t>Cost Category</t>
  </si>
  <si>
    <t>Other</t>
  </si>
  <si>
    <t xml:space="preserve">GRAND TOTAL (Fixed Costs + Activities) =  </t>
  </si>
  <si>
    <t>Meeting expenses, Training, Workshops, Consultations</t>
  </si>
  <si>
    <t>Assumptions*</t>
  </si>
  <si>
    <t>* Has to be detailed if the yearly budget is over 10'000 per annum.</t>
  </si>
  <si>
    <t>Cost Categories</t>
  </si>
  <si>
    <t>Meeting, Trainings, Workshops, consultations</t>
  </si>
  <si>
    <t>Communication materials</t>
  </si>
  <si>
    <t>Equipment</t>
  </si>
  <si>
    <t>Overhead</t>
  </si>
  <si>
    <t>Indirect Costs</t>
  </si>
  <si>
    <t>Others (Please specify in comments)</t>
  </si>
  <si>
    <t xml:space="preserve">Currency: </t>
  </si>
  <si>
    <t>Currency</t>
  </si>
  <si>
    <t>USD</t>
  </si>
  <si>
    <t>EUR</t>
  </si>
  <si>
    <t>Dialogue</t>
  </si>
  <si>
    <t>Cost Category 
(Read-only)</t>
  </si>
  <si>
    <t xml:space="preserve">INSTRUCTIONS: CHOOSE ACTIVITY, COST CATEGORY AND FILL IN THE YELLOW CELLS </t>
  </si>
  <si>
    <t>Performance Area</t>
  </si>
  <si>
    <t>Alilgnment</t>
  </si>
  <si>
    <t>Constituency Engagement</t>
  </si>
  <si>
    <t>Capacity Building/Gender</t>
  </si>
  <si>
    <t xml:space="preserve">Sustainability and Transition </t>
  </si>
  <si>
    <t>CCM Turkmenistan</t>
  </si>
  <si>
    <t>Nr of people</t>
  </si>
  <si>
    <t>зарплата в мес</t>
  </si>
  <si>
    <t>кол-во месяцев</t>
  </si>
  <si>
    <t>итого</t>
  </si>
  <si>
    <t>занятость</t>
  </si>
  <si>
    <t>в мес</t>
  </si>
  <si>
    <t xml:space="preserve">кол-во </t>
  </si>
  <si>
    <t>Project starff</t>
  </si>
  <si>
    <t>Transactions:</t>
  </si>
  <si>
    <t>PO</t>
  </si>
  <si>
    <t>Vouchers</t>
  </si>
  <si>
    <t>AR management</t>
  </si>
  <si>
    <t>Customs clearance</t>
  </si>
  <si>
    <t>авиа билет</t>
  </si>
  <si>
    <t>такси в аэропорт</t>
  </si>
  <si>
    <t>суточные</t>
  </si>
  <si>
    <t>цена</t>
  </si>
  <si>
    <t>кол-во людей</t>
  </si>
  <si>
    <t>стоимость</t>
  </si>
  <si>
    <t>гонорар</t>
  </si>
  <si>
    <t>виза</t>
  </si>
  <si>
    <t>кол-во дней</t>
  </si>
  <si>
    <t>виза и страховка</t>
  </si>
  <si>
    <t>собрания СКК</t>
  </si>
  <si>
    <t>Вода</t>
  </si>
  <si>
    <t>Распечатки</t>
  </si>
  <si>
    <t>Встречи рабочей группы</t>
  </si>
  <si>
    <t>Кофе-брейк</t>
  </si>
  <si>
    <t>Машина (бензин, масло, колодки, итп) на квартал</t>
  </si>
  <si>
    <t>Канц.товары, на квартал</t>
  </si>
  <si>
    <t>Интернет, в месяц</t>
  </si>
  <si>
    <t>кол-во</t>
  </si>
  <si>
    <t>билеты участникам из велаятов</t>
  </si>
  <si>
    <t>суточные участникам из велаятов</t>
  </si>
  <si>
    <t>дней</t>
  </si>
  <si>
    <t>Кофе брейк</t>
  </si>
  <si>
    <t>Обед</t>
  </si>
  <si>
    <t>аренда зала</t>
  </si>
  <si>
    <t>канц товары</t>
  </si>
  <si>
    <t>разное</t>
  </si>
  <si>
    <t xml:space="preserve">Regular meetings of CMM: 1) in May to get informed about Secretariat funding and the selected Secretary;     2) in August to review the draft funding request; 3) in Nov - 2017 year end meeting; March 2018 - for 2017 report by the PR and agreeing the 2018 work plan. </t>
  </si>
  <si>
    <t xml:space="preserve">See the worksheet "встречи СКК и рабоч группы". The budget includes travel of members from the regions, water, printouts. </t>
  </si>
  <si>
    <t xml:space="preserve">CCM induction training by an international expert: the current CCM eligibility and how to improve it. </t>
  </si>
  <si>
    <t xml:space="preserve">See the worksheet "ориентационн тренинг". The budget includes rent of hall, travel expenses for the CCM members from the regions, water, meals, stationery and printouts. </t>
  </si>
  <si>
    <t>Technical support by an an international expert for induction session.</t>
  </si>
  <si>
    <t>See the worksheet "встречи СКК и рабоч группы". The budget includes water, printouts, coffee breaks.</t>
  </si>
  <si>
    <t>Technical working group for development of funding request will meet in May-Aug, and then in Oct/Nov for the TRP comments</t>
  </si>
  <si>
    <t>CCM capacity building by participation in international events, experience exchange</t>
  </si>
  <si>
    <t>Revised CCM Statute to be printed in 30 copies, each for estimated $10.</t>
  </si>
  <si>
    <t>CCM Statute needs to be revised and printed for the CCM members.</t>
  </si>
  <si>
    <t>цена в мес</t>
  </si>
  <si>
    <t>кол-во мес</t>
  </si>
  <si>
    <t>дизайнер</t>
  </si>
  <si>
    <t>материал 1</t>
  </si>
  <si>
    <t>материал 2</t>
  </si>
  <si>
    <t>материал 3</t>
  </si>
  <si>
    <t>гонорар экспертов</t>
  </si>
  <si>
    <t xml:space="preserve">Development and printing of communication materials </t>
  </si>
  <si>
    <t>There is need to print out various  information materials. Therefore this CCM funding request includes it.</t>
  </si>
  <si>
    <t>Oversight visits 2 times for the funding year. 2 regions per visit, 4 regions in the funding year.</t>
  </si>
  <si>
    <t xml:space="preserve">See the worksheet "надзорные визиты". The budget includes travel expenses for 1 day for 2 staff of the oversight committee. </t>
  </si>
  <si>
    <t>Закупка компьютера</t>
  </si>
  <si>
    <t>Закупка принтер 4 в 1</t>
  </si>
  <si>
    <t>Мобильный телефон, на квартал</t>
  </si>
  <si>
    <t>в манатах</t>
  </si>
  <si>
    <t>CCM Turkmenistan has not participated in any international CCM-related meetings since 2010. The current funding request includes possibility for 1 event to be attended by 2 CCM members</t>
  </si>
  <si>
    <t>See the worksheet "междун поездка". The budget includes travel expenses for 2 CCM members</t>
  </si>
  <si>
    <t>Секретарь СКК, зарплата
включает 20% социальных выплат</t>
  </si>
  <si>
    <t>после выплат, в  мес</t>
  </si>
  <si>
    <t>манат, до выплат, в мес</t>
  </si>
  <si>
    <t>манат, после выплат, в мес</t>
  </si>
  <si>
    <t>Аренда водителя с машиной. Включает 20% социальные выплаты и расходы на бензин, масло, тех ремонт и другие нужды</t>
  </si>
  <si>
    <t>зарплата водителя в мес после социальных выплат</t>
  </si>
  <si>
    <t>Printing of the CCM Statute, 30 copies, $5 each</t>
  </si>
  <si>
    <t xml:space="preserve">Approximately 5,500 copies of simple leaflets, booklets, etc. More precise prices will be known later. 2 experts and 1 designer  will develop the information materials in Turkmen and Russian languages. See the worksheet "распечатки". </t>
  </si>
  <si>
    <t>Картридж, раз в 6 мес</t>
  </si>
  <si>
    <t>такси в аэропорт (2)</t>
  </si>
  <si>
    <t>See the worksheet "тех поддержка" cell F10. The budget includes travel expenses, fee for 1 expert.</t>
  </si>
  <si>
    <t>See the worksheet "тех поддержка"  cell F19. The budget includes travel expenses, fee for 1 expert.</t>
  </si>
  <si>
    <t xml:space="preserve">1 expert will be engaged to work 10 days in-country and 6 days remotely. </t>
  </si>
  <si>
    <t>July</t>
  </si>
  <si>
    <t>Aug</t>
  </si>
  <si>
    <t>Sep</t>
  </si>
  <si>
    <t>Oct</t>
  </si>
  <si>
    <t>Nov</t>
  </si>
  <si>
    <t>Dec</t>
  </si>
  <si>
    <t>Jan</t>
  </si>
  <si>
    <t>Feb</t>
  </si>
  <si>
    <t>Apr</t>
  </si>
  <si>
    <t>Mar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</si>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</sst>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"/>
    <numFmt numFmtId="168" formatCode="_(&quot;$&quot;* #,##0.0_);_(&quot;$&quot;* \(#,##0.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49">
    <xf numFmtId="0" fontId="0" fillId="0" borderId="0" xfId="0"/>
    <xf numFmtId="0" fontId="0" fillId="2" borderId="22" xfId="0" applyFill="1" applyBorder="1"/>
    <xf numFmtId="0" fontId="0" fillId="3" borderId="2" xfId="0" applyFill="1" applyBorder="1" applyAlignment="1">
      <alignment horizontal="center"/>
    </xf>
    <xf numFmtId="0" fontId="0" fillId="0" borderId="37" xfId="0" applyBorder="1" applyAlignment="1"/>
    <xf numFmtId="0" fontId="0" fillId="9" borderId="24" xfId="0" applyFill="1" applyBorder="1" applyAlignment="1">
      <alignment horizontal="left" vertical="top" wrapText="1"/>
    </xf>
    <xf numFmtId="0" fontId="0" fillId="9" borderId="25" xfId="0" applyFill="1" applyBorder="1" applyAlignment="1">
      <alignment horizontal="left" vertical="top" wrapText="1"/>
    </xf>
    <xf numFmtId="0" fontId="0" fillId="9" borderId="26" xfId="0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8" borderId="1" xfId="0" applyFont="1" applyFill="1" applyBorder="1" applyAlignment="1"/>
    <xf numFmtId="0" fontId="0" fillId="3" borderId="1" xfId="0" applyFill="1" applyBorder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0" fillId="9" borderId="2" xfId="0" applyFill="1" applyBorder="1" applyAlignment="1">
      <alignment horizontal="left" vertical="center"/>
    </xf>
    <xf numFmtId="15" fontId="0" fillId="9" borderId="2" xfId="0" applyNumberFormat="1" applyFill="1" applyBorder="1" applyAlignment="1">
      <alignment horizontal="left" vertical="center"/>
    </xf>
    <xf numFmtId="0" fontId="1" fillId="8" borderId="12" xfId="0" applyFont="1" applyFill="1" applyBorder="1" applyAlignment="1">
      <alignment horizontal="center" vertical="center"/>
    </xf>
    <xf numFmtId="165" fontId="0" fillId="0" borderId="0" xfId="1" applyNumberFormat="1" applyFont="1"/>
    <xf numFmtId="43" fontId="6" fillId="0" borderId="0" xfId="1" applyFont="1"/>
    <xf numFmtId="43" fontId="0" fillId="0" borderId="0" xfId="0" applyNumberFormat="1"/>
    <xf numFmtId="43" fontId="6" fillId="0" borderId="1" xfId="1" applyFont="1" applyBorder="1"/>
    <xf numFmtId="0" fontId="0" fillId="0" borderId="1" xfId="0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0" fillId="0" borderId="1" xfId="0" applyNumberFormat="1" applyBorder="1"/>
    <xf numFmtId="0" fontId="9" fillId="7" borderId="0" xfId="0" applyFont="1" applyFill="1"/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3" borderId="3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Alignment="1">
      <alignment vertical="center"/>
    </xf>
    <xf numFmtId="0" fontId="0" fillId="3" borderId="41" xfId="0" applyFill="1" applyBorder="1" applyAlignment="1">
      <alignment horizontal="center" vertical="center"/>
    </xf>
    <xf numFmtId="0" fontId="4" fillId="7" borderId="24" xfId="0" applyFont="1" applyFill="1" applyBorder="1" applyAlignment="1">
      <alignment vertical="center" wrapText="1"/>
    </xf>
    <xf numFmtId="0" fontId="4" fillId="7" borderId="25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1" fontId="0" fillId="9" borderId="6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1" fontId="0" fillId="9" borderId="7" xfId="0" applyNumberFormat="1" applyFill="1" applyBorder="1" applyAlignment="1">
      <alignment horizontal="center" vertical="center"/>
    </xf>
    <xf numFmtId="1" fontId="0" fillId="9" borderId="3" xfId="0" applyNumberFormat="1" applyFill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" fontId="0" fillId="9" borderId="5" xfId="0" applyNumberFormat="1" applyFill="1" applyBorder="1" applyAlignment="1">
      <alignment horizontal="center" vertical="center"/>
    </xf>
    <xf numFmtId="1" fontId="0" fillId="9" borderId="27" xfId="0" applyNumberFormat="1" applyFill="1" applyBorder="1" applyAlignment="1">
      <alignment horizontal="center" vertical="center"/>
    </xf>
    <xf numFmtId="1" fontId="0" fillId="9" borderId="11" xfId="0" applyNumberFormat="1" applyFill="1" applyBorder="1" applyAlignment="1">
      <alignment horizontal="center" vertical="center"/>
    </xf>
    <xf numFmtId="1" fontId="0" fillId="9" borderId="21" xfId="0" applyNumberFormat="1" applyFill="1" applyBorder="1" applyAlignment="1">
      <alignment horizontal="center" vertical="center"/>
    </xf>
    <xf numFmtId="1" fontId="0" fillId="2" borderId="24" xfId="0" applyNumberFormat="1" applyFill="1" applyBorder="1" applyAlignment="1">
      <alignment vertical="center"/>
    </xf>
    <xf numFmtId="3" fontId="0" fillId="9" borderId="40" xfId="0" applyNumberFormat="1" applyFill="1" applyBorder="1" applyAlignment="1">
      <alignment vertical="center"/>
    </xf>
    <xf numFmtId="3" fontId="0" fillId="9" borderId="40" xfId="0" applyNumberFormat="1" applyFill="1" applyBorder="1" applyAlignment="1">
      <alignment horizontal="left" vertical="center" wrapText="1"/>
    </xf>
    <xf numFmtId="1" fontId="0" fillId="9" borderId="28" xfId="0" applyNumberFormat="1" applyFill="1" applyBorder="1" applyAlignment="1">
      <alignment horizontal="center" vertical="center"/>
    </xf>
    <xf numFmtId="1" fontId="0" fillId="9" borderId="22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vertical="center"/>
    </xf>
    <xf numFmtId="3" fontId="0" fillId="9" borderId="31" xfId="0" applyNumberFormat="1" applyFill="1" applyBorder="1" applyAlignment="1">
      <alignment vertical="center"/>
    </xf>
    <xf numFmtId="3" fontId="0" fillId="9" borderId="31" xfId="0" applyNumberFormat="1" applyFill="1" applyBorder="1" applyAlignment="1">
      <alignment horizontal="left" vertical="center" wrapText="1"/>
    </xf>
    <xf numFmtId="1" fontId="0" fillId="9" borderId="8" xfId="0" applyNumberFormat="1" applyFill="1" applyBorder="1" applyAlignment="1">
      <alignment horizontal="center" vertical="center"/>
    </xf>
    <xf numFmtId="1" fontId="0" fillId="9" borderId="9" xfId="0" applyNumberFormat="1" applyFill="1" applyBorder="1" applyAlignment="1">
      <alignment horizontal="center" vertical="center"/>
    </xf>
    <xf numFmtId="1" fontId="0" fillId="9" borderId="10" xfId="0" applyNumberFormat="1" applyFill="1" applyBorder="1" applyAlignment="1">
      <alignment horizontal="center" vertical="center"/>
    </xf>
    <xf numFmtId="1" fontId="0" fillId="9" borderId="29" xfId="0" applyNumberFormat="1" applyFill="1" applyBorder="1" applyAlignment="1">
      <alignment horizontal="center" vertical="center"/>
    </xf>
    <xf numFmtId="1" fontId="0" fillId="9" borderId="23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vertical="center"/>
    </xf>
    <xf numFmtId="3" fontId="0" fillId="9" borderId="32" xfId="0" applyNumberFormat="1" applyFill="1" applyBorder="1" applyAlignment="1">
      <alignment vertical="center"/>
    </xf>
    <xf numFmtId="3" fontId="0" fillId="9" borderId="32" xfId="0" applyNumberFormat="1" applyFill="1" applyBorder="1" applyAlignment="1">
      <alignment horizontal="left" vertical="center" wrapText="1"/>
    </xf>
    <xf numFmtId="3" fontId="0" fillId="2" borderId="2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64" fontId="0" fillId="9" borderId="18" xfId="0" applyNumberFormat="1" applyFill="1" applyBorder="1" applyAlignment="1">
      <alignment vertical="center"/>
    </xf>
    <xf numFmtId="164" fontId="0" fillId="9" borderId="19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7" borderId="25" xfId="0" applyFill="1" applyBorder="1" applyAlignment="1">
      <alignment vertical="center" wrapText="1"/>
    </xf>
    <xf numFmtId="0" fontId="0" fillId="7" borderId="26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44" fontId="0" fillId="0" borderId="1" xfId="2" applyFont="1" applyBorder="1"/>
    <xf numFmtId="166" fontId="0" fillId="0" borderId="1" xfId="2" applyNumberFormat="1" applyFont="1" applyBorder="1"/>
    <xf numFmtId="0" fontId="0" fillId="0" borderId="16" xfId="0" applyFill="1" applyBorder="1" applyAlignment="1">
      <alignment wrapText="1"/>
    </xf>
    <xf numFmtId="43" fontId="0" fillId="0" borderId="0" xfId="1" applyFont="1"/>
    <xf numFmtId="44" fontId="0" fillId="0" borderId="0" xfId="2" applyFont="1"/>
    <xf numFmtId="166" fontId="0" fillId="0" borderId="0" xfId="0" applyNumberFormat="1"/>
    <xf numFmtId="166" fontId="0" fillId="0" borderId="0" xfId="2" applyNumberFormat="1" applyFont="1"/>
    <xf numFmtId="44" fontId="0" fillId="0" borderId="1" xfId="2" applyFont="1" applyBorder="1" applyAlignment="1">
      <alignment wrapText="1"/>
    </xf>
    <xf numFmtId="44" fontId="0" fillId="0" borderId="46" xfId="2" applyFont="1" applyBorder="1" applyAlignment="1">
      <alignment wrapText="1"/>
    </xf>
    <xf numFmtId="44" fontId="0" fillId="0" borderId="46" xfId="2" applyFont="1" applyFill="1" applyBorder="1" applyAlignment="1">
      <alignment wrapText="1"/>
    </xf>
    <xf numFmtId="167" fontId="0" fillId="0" borderId="0" xfId="0" applyNumberFormat="1" applyAlignment="1">
      <alignment vertical="center"/>
    </xf>
    <xf numFmtId="44" fontId="0" fillId="0" borderId="1" xfId="2" applyNumberFormat="1" applyFont="1" applyBorder="1"/>
    <xf numFmtId="44" fontId="0" fillId="0" borderId="0" xfId="2" applyNumberFormat="1" applyFont="1"/>
    <xf numFmtId="168" fontId="0" fillId="0" borderId="1" xfId="2" applyNumberFormat="1" applyFont="1" applyBorder="1"/>
    <xf numFmtId="0" fontId="0" fillId="5" borderId="33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3" fontId="0" fillId="10" borderId="36" xfId="0" applyNumberFormat="1" applyFill="1" applyBorder="1" applyAlignment="1">
      <alignment horizontal="center" vertical="center" wrapText="1"/>
    </xf>
    <xf numFmtId="3" fontId="0" fillId="10" borderId="38" xfId="0" applyNumberFormat="1" applyFill="1" applyBorder="1" applyAlignment="1">
      <alignment horizontal="center" vertical="center" wrapText="1"/>
    </xf>
    <xf numFmtId="3" fontId="0" fillId="10" borderId="34" xfId="0" applyNumberFormat="1" applyFill="1" applyBorder="1" applyAlignment="1">
      <alignment horizontal="center" vertical="center" wrapText="1"/>
    </xf>
    <xf numFmtId="3" fontId="0" fillId="10" borderId="35" xfId="0" applyNumberForma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1" fillId="8" borderId="43" xfId="0" applyFont="1" applyFill="1" applyBorder="1" applyAlignment="1">
      <alignment horizontal="center" vertical="center" wrapText="1"/>
    </xf>
    <xf numFmtId="0" fontId="1" fillId="8" borderId="44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35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0" fillId="9" borderId="4" xfId="0" applyNumberFormat="1" applyFill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0" fillId="9" borderId="9" xfId="0" applyNumberFormat="1" applyFill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ocratic%20Governance%20Portfolio/HIV%20and%20TB%20procurement%20for%202018/Agreement/draft%20AWP%20and%20budget_RUS_23%20Feb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ий план бюджет"/>
      <sheetName val="DPC "/>
      <sheetName val="рабочий план бюджет for MoH"/>
      <sheetName val="1.1 ТБ реагенты"/>
      <sheetName val="1.2  ТБ лек 1 ряд"/>
      <sheetName val="1.3 ТБ лек 2 ряд"/>
      <sheetName val="1.4 a Лаб Ахал"/>
      <sheetName val="1.4 b Лаб Балкан"/>
      <sheetName val="2.1 ВИЧ тесты"/>
      <sheetName val="2.2 контрацептивы"/>
      <sheetName val="3.1"/>
      <sheetName val="3.2"/>
      <sheetName val="4.1 Кожвен"/>
      <sheetName val="5.1"/>
      <sheetName val="5.2 регистр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topLeftCell="A16" zoomScale="90" zoomScaleNormal="90" workbookViewId="0">
      <selection activeCell="N7" sqref="N7"/>
    </sheetView>
  </sheetViews>
  <sheetFormatPr defaultRowHeight="15" x14ac:dyDescent="0.25"/>
  <cols>
    <col min="1" max="1" width="15.42578125" customWidth="1"/>
    <col min="2" max="2" width="23.7109375" style="33" customWidth="1"/>
    <col min="3" max="4" width="5.7109375" style="33" customWidth="1"/>
    <col min="5" max="5" width="6" style="33" customWidth="1"/>
    <col min="6" max="6" width="7.42578125" style="33" customWidth="1"/>
    <col min="7" max="14" width="5.7109375" style="33" customWidth="1"/>
    <col min="15" max="15" width="6.7109375" style="33" customWidth="1"/>
    <col min="16" max="16" width="9.7109375" style="33" customWidth="1"/>
    <col min="17" max="17" width="38.140625" style="33" customWidth="1"/>
    <col min="18" max="18" width="41.28515625" customWidth="1"/>
    <col min="19" max="19" width="15.28515625" style="33" customWidth="1"/>
    <col min="20" max="20" width="17.42578125" style="33" customWidth="1"/>
  </cols>
  <sheetData>
    <row r="1" spans="1:20" ht="24" thickBot="1" x14ac:dyDescent="0.3">
      <c r="D1" s="39" t="s">
        <v>61</v>
      </c>
    </row>
    <row r="2" spans="1:20" ht="15.75" thickBot="1" x14ac:dyDescent="0.3">
      <c r="A2" s="1" t="s">
        <v>28</v>
      </c>
      <c r="B2" s="16" t="s">
        <v>67</v>
      </c>
    </row>
    <row r="3" spans="1:20" ht="24" customHeight="1" thickBot="1" x14ac:dyDescent="0.3">
      <c r="A3" s="1" t="s">
        <v>39</v>
      </c>
      <c r="B3" s="17">
        <v>42917</v>
      </c>
      <c r="D3" s="39"/>
      <c r="I3" s="114" t="s">
        <v>44</v>
      </c>
      <c r="J3" s="115"/>
      <c r="K3" s="115"/>
      <c r="L3" s="115"/>
      <c r="M3" s="115"/>
      <c r="N3" s="108">
        <f>C29+P21</f>
        <v>50000.03</v>
      </c>
      <c r="O3" s="109"/>
    </row>
    <row r="4" spans="1:20" ht="15.75" thickBot="1" x14ac:dyDescent="0.3">
      <c r="A4" s="1" t="s">
        <v>38</v>
      </c>
      <c r="B4" s="16" t="s">
        <v>37</v>
      </c>
      <c r="I4" s="116"/>
      <c r="J4" s="117"/>
      <c r="K4" s="117"/>
      <c r="L4" s="117"/>
      <c r="M4" s="117"/>
      <c r="N4" s="110"/>
      <c r="O4" s="111"/>
    </row>
    <row r="5" spans="1:20" ht="15.75" thickBot="1" x14ac:dyDescent="0.3">
      <c r="A5" s="1" t="s">
        <v>55</v>
      </c>
      <c r="B5" s="16" t="s">
        <v>57</v>
      </c>
    </row>
    <row r="6" spans="1:20" ht="15.75" thickBot="1" x14ac:dyDescent="0.3">
      <c r="C6" s="118" t="s">
        <v>1</v>
      </c>
      <c r="D6" s="112"/>
      <c r="E6" s="112"/>
      <c r="F6" s="112" t="s">
        <v>2</v>
      </c>
      <c r="G6" s="112"/>
      <c r="H6" s="112"/>
      <c r="I6" s="112" t="s">
        <v>3</v>
      </c>
      <c r="J6" s="112"/>
      <c r="K6" s="112"/>
      <c r="L6" s="112" t="s">
        <v>4</v>
      </c>
      <c r="M6" s="112"/>
      <c r="N6" s="113"/>
      <c r="O6" s="40"/>
      <c r="P6" s="40"/>
      <c r="Q6" s="40"/>
    </row>
    <row r="7" spans="1:20" ht="15.75" thickBot="1" x14ac:dyDescent="0.3">
      <c r="B7" s="77" t="s">
        <v>0</v>
      </c>
      <c r="C7" s="41" t="s">
        <v>148</v>
      </c>
      <c r="D7" s="41" t="s">
        <v>149</v>
      </c>
      <c r="E7" s="41" t="s">
        <v>150</v>
      </c>
      <c r="F7" s="41" t="s">
        <v>151</v>
      </c>
      <c r="G7" s="41" t="s">
        <v>152</v>
      </c>
      <c r="H7" s="41" t="s">
        <v>153</v>
      </c>
      <c r="I7" s="41" t="s">
        <v>154</v>
      </c>
      <c r="J7" s="41" t="s">
        <v>155</v>
      </c>
      <c r="K7" s="41" t="s">
        <v>157</v>
      </c>
      <c r="L7" s="41" t="s">
        <v>156</v>
      </c>
      <c r="M7" s="41" t="s">
        <v>158</v>
      </c>
      <c r="N7" s="42" t="s">
        <v>159</v>
      </c>
      <c r="O7" s="43" t="s">
        <v>16</v>
      </c>
      <c r="P7" s="44" t="s">
        <v>41</v>
      </c>
      <c r="Q7" s="44" t="s">
        <v>46</v>
      </c>
      <c r="R7" s="2" t="s">
        <v>5</v>
      </c>
      <c r="S7" s="34" t="s">
        <v>42</v>
      </c>
      <c r="T7" s="34" t="s">
        <v>62</v>
      </c>
    </row>
    <row r="8" spans="1:20" ht="107.25" customHeight="1" x14ac:dyDescent="0.25">
      <c r="A8" s="105" t="s">
        <v>11</v>
      </c>
      <c r="B8" s="78" t="s">
        <v>30</v>
      </c>
      <c r="C8" s="45"/>
      <c r="D8" s="46">
        <v>1</v>
      </c>
      <c r="E8" s="47"/>
      <c r="F8" s="48"/>
      <c r="G8" s="49">
        <v>1</v>
      </c>
      <c r="H8" s="50"/>
      <c r="I8" s="48"/>
      <c r="J8" s="49">
        <v>1</v>
      </c>
      <c r="K8" s="50"/>
      <c r="L8" s="51"/>
      <c r="M8" s="52"/>
      <c r="N8" s="53">
        <v>1</v>
      </c>
      <c r="O8" s="54">
        <f>SUM(C8:N8)</f>
        <v>4</v>
      </c>
      <c r="P8" s="55">
        <f>O8*'встречи СКК и рабоч группы'!E9</f>
        <v>1450</v>
      </c>
      <c r="Q8" s="56" t="s">
        <v>109</v>
      </c>
      <c r="R8" s="4" t="s">
        <v>108</v>
      </c>
      <c r="S8" s="35" t="s">
        <v>49</v>
      </c>
      <c r="T8" s="35" t="s">
        <v>12</v>
      </c>
    </row>
    <row r="9" spans="1:20" ht="75" x14ac:dyDescent="0.25">
      <c r="A9" s="106"/>
      <c r="B9" s="78" t="s">
        <v>36</v>
      </c>
      <c r="C9" s="45"/>
      <c r="D9" s="46"/>
      <c r="E9" s="47"/>
      <c r="F9" s="45"/>
      <c r="G9" s="46"/>
      <c r="H9" s="47"/>
      <c r="I9" s="45"/>
      <c r="J9" s="46">
        <v>1</v>
      </c>
      <c r="K9" s="47"/>
      <c r="L9" s="57"/>
      <c r="M9" s="46"/>
      <c r="N9" s="58"/>
      <c r="O9" s="59">
        <f>SUM(C9:N9)</f>
        <v>1</v>
      </c>
      <c r="P9" s="60">
        <f>'ориентационн тренинг'!F14</f>
        <v>1760</v>
      </c>
      <c r="Q9" s="56" t="s">
        <v>111</v>
      </c>
      <c r="R9" s="5" t="s">
        <v>110</v>
      </c>
      <c r="S9" s="36" t="s">
        <v>45</v>
      </c>
      <c r="T9" s="36" t="s">
        <v>65</v>
      </c>
    </row>
    <row r="10" spans="1:20" ht="45" x14ac:dyDescent="0.25">
      <c r="A10" s="106"/>
      <c r="B10" s="78" t="s">
        <v>22</v>
      </c>
      <c r="C10" s="45"/>
      <c r="D10" s="46"/>
      <c r="E10" s="47"/>
      <c r="F10" s="45"/>
      <c r="G10" s="46"/>
      <c r="H10" s="47"/>
      <c r="I10" s="45"/>
      <c r="J10" s="46">
        <v>1</v>
      </c>
      <c r="K10" s="47"/>
      <c r="L10" s="57"/>
      <c r="M10" s="46"/>
      <c r="N10" s="58"/>
      <c r="O10" s="59">
        <f t="shared" ref="O10:O18" si="0">SUM(C10:N10)</f>
        <v>1</v>
      </c>
      <c r="P10" s="60">
        <f>'тех поддержка'!F10</f>
        <v>3120</v>
      </c>
      <c r="Q10" s="56" t="s">
        <v>145</v>
      </c>
      <c r="R10" s="5" t="s">
        <v>112</v>
      </c>
      <c r="S10" s="36" t="s">
        <v>34</v>
      </c>
      <c r="T10" s="36" t="s">
        <v>65</v>
      </c>
    </row>
    <row r="11" spans="1:20" ht="60.75" customHeight="1" x14ac:dyDescent="0.25">
      <c r="A11" s="29" t="s">
        <v>12</v>
      </c>
      <c r="B11" s="78" t="s">
        <v>40</v>
      </c>
      <c r="C11" s="45"/>
      <c r="D11" s="46">
        <v>1</v>
      </c>
      <c r="E11" s="47"/>
      <c r="F11" s="45"/>
      <c r="G11" s="46"/>
      <c r="H11" s="47"/>
      <c r="I11" s="45"/>
      <c r="J11" s="46">
        <v>1</v>
      </c>
      <c r="K11" s="47"/>
      <c r="L11" s="57"/>
      <c r="M11" s="46"/>
      <c r="N11" s="58"/>
      <c r="O11" s="59">
        <f>SUM(C11:N11)</f>
        <v>2</v>
      </c>
      <c r="P11" s="60">
        <f>D11*'надзорные визиты'!E8</f>
        <v>210</v>
      </c>
      <c r="Q11" s="56" t="s">
        <v>128</v>
      </c>
      <c r="R11" s="5" t="s">
        <v>127</v>
      </c>
      <c r="S11" s="36" t="s">
        <v>54</v>
      </c>
      <c r="T11" s="36" t="s">
        <v>12</v>
      </c>
    </row>
    <row r="12" spans="1:20" ht="60.75" customHeight="1" x14ac:dyDescent="0.25">
      <c r="A12" s="102" t="s">
        <v>13</v>
      </c>
      <c r="B12" s="78" t="s">
        <v>22</v>
      </c>
      <c r="C12" s="45"/>
      <c r="D12" s="46"/>
      <c r="E12" s="47"/>
      <c r="F12" s="45">
        <v>1</v>
      </c>
      <c r="G12" s="46"/>
      <c r="H12" s="47"/>
      <c r="I12" s="45"/>
      <c r="J12" s="46"/>
      <c r="K12" s="47"/>
      <c r="L12" s="57"/>
      <c r="M12" s="46"/>
      <c r="N12" s="58"/>
      <c r="O12" s="59">
        <f t="shared" si="0"/>
        <v>1</v>
      </c>
      <c r="P12" s="60">
        <f>'тех поддержка'!F19</f>
        <v>10185</v>
      </c>
      <c r="Q12" s="56" t="s">
        <v>146</v>
      </c>
      <c r="R12" s="5" t="s">
        <v>147</v>
      </c>
      <c r="S12" s="36" t="s">
        <v>45</v>
      </c>
      <c r="T12" s="36"/>
    </row>
    <row r="13" spans="1:20" ht="45.75" thickBot="1" x14ac:dyDescent="0.3">
      <c r="A13" s="103"/>
      <c r="B13" s="78" t="s">
        <v>7</v>
      </c>
      <c r="C13" s="45"/>
      <c r="D13" s="46">
        <v>1</v>
      </c>
      <c r="E13" s="47">
        <v>2</v>
      </c>
      <c r="F13" s="45">
        <v>2</v>
      </c>
      <c r="G13" s="45">
        <v>2</v>
      </c>
      <c r="H13" s="47"/>
      <c r="I13" s="45">
        <v>1</v>
      </c>
      <c r="J13" s="46"/>
      <c r="K13" s="47"/>
      <c r="L13" s="57"/>
      <c r="M13" s="46"/>
      <c r="N13" s="58"/>
      <c r="O13" s="59">
        <f>SUM(C13:N13)</f>
        <v>8</v>
      </c>
      <c r="P13" s="60">
        <f>O13*'встречи СКК и рабоч группы'!E18</f>
        <v>2112</v>
      </c>
      <c r="Q13" s="56" t="s">
        <v>113</v>
      </c>
      <c r="R13" s="5" t="s">
        <v>114</v>
      </c>
      <c r="S13" s="36" t="s">
        <v>45</v>
      </c>
      <c r="T13" s="36" t="s">
        <v>64</v>
      </c>
    </row>
    <row r="14" spans="1:20" ht="27.75" hidden="1" customHeight="1" x14ac:dyDescent="0.25">
      <c r="A14" s="104"/>
      <c r="B14" s="78"/>
      <c r="C14" s="45"/>
      <c r="D14" s="46"/>
      <c r="E14" s="47"/>
      <c r="F14" s="45"/>
      <c r="G14" s="46"/>
      <c r="H14" s="47"/>
      <c r="I14" s="45"/>
      <c r="J14" s="46"/>
      <c r="K14" s="47"/>
      <c r="L14" s="57"/>
      <c r="M14" s="46"/>
      <c r="N14" s="58"/>
      <c r="O14" s="59">
        <f t="shared" si="0"/>
        <v>0</v>
      </c>
      <c r="P14" s="60"/>
      <c r="Q14" s="61"/>
      <c r="R14" s="5"/>
      <c r="S14" s="37"/>
      <c r="T14" s="84"/>
    </row>
    <row r="15" spans="1:20" ht="79.5" customHeight="1" x14ac:dyDescent="0.25">
      <c r="A15" s="130" t="s">
        <v>17</v>
      </c>
      <c r="B15" s="87" t="s">
        <v>115</v>
      </c>
      <c r="C15" s="45"/>
      <c r="D15" s="46"/>
      <c r="E15" s="47"/>
      <c r="F15" s="45"/>
      <c r="G15" s="46"/>
      <c r="H15" s="47"/>
      <c r="I15" s="45"/>
      <c r="J15" s="46"/>
      <c r="K15" s="47">
        <v>1</v>
      </c>
      <c r="L15" s="57"/>
      <c r="M15" s="46"/>
      <c r="N15" s="58"/>
      <c r="O15" s="59">
        <f t="shared" si="0"/>
        <v>1</v>
      </c>
      <c r="P15" s="60">
        <f>O15*'междун поездка'!F10</f>
        <v>5312</v>
      </c>
      <c r="Q15" s="56" t="s">
        <v>134</v>
      </c>
      <c r="R15" s="5" t="s">
        <v>133</v>
      </c>
      <c r="S15" s="36" t="s">
        <v>49</v>
      </c>
      <c r="T15" s="36" t="s">
        <v>65</v>
      </c>
    </row>
    <row r="16" spans="1:20" ht="47.25" customHeight="1" x14ac:dyDescent="0.25">
      <c r="A16" s="131"/>
      <c r="B16" s="87" t="s">
        <v>141</v>
      </c>
      <c r="C16" s="57"/>
      <c r="D16" s="46"/>
      <c r="E16" s="47"/>
      <c r="F16" s="45"/>
      <c r="G16" s="46"/>
      <c r="H16" s="47"/>
      <c r="I16" s="45">
        <v>30</v>
      </c>
      <c r="J16" s="46"/>
      <c r="K16" s="47"/>
      <c r="L16" s="57"/>
      <c r="M16" s="46"/>
      <c r="N16" s="58"/>
      <c r="O16" s="59">
        <f t="shared" si="0"/>
        <v>30</v>
      </c>
      <c r="P16" s="60">
        <f>30*5</f>
        <v>150</v>
      </c>
      <c r="Q16" s="61" t="s">
        <v>116</v>
      </c>
      <c r="R16" s="5" t="s">
        <v>117</v>
      </c>
      <c r="S16" s="37" t="s">
        <v>50</v>
      </c>
      <c r="T16" s="84" t="s">
        <v>64</v>
      </c>
    </row>
    <row r="17" spans="1:20" ht="109.5" customHeight="1" thickBot="1" x14ac:dyDescent="0.3">
      <c r="A17" s="131"/>
      <c r="B17" s="87" t="s">
        <v>125</v>
      </c>
      <c r="C17" s="45"/>
      <c r="D17" s="46"/>
      <c r="E17" s="47"/>
      <c r="F17" s="45">
        <f>распечатки!D7+распечатки!D8+распечатки!D9</f>
        <v>5500</v>
      </c>
      <c r="G17" s="46"/>
      <c r="H17" s="47"/>
      <c r="I17" s="45"/>
      <c r="J17" s="46"/>
      <c r="K17" s="47"/>
      <c r="L17" s="57"/>
      <c r="M17" s="46"/>
      <c r="N17" s="58"/>
      <c r="O17" s="59">
        <f t="shared" si="0"/>
        <v>5500</v>
      </c>
      <c r="P17" s="60">
        <f>распечатки!F10</f>
        <v>6150</v>
      </c>
      <c r="Q17" s="61" t="s">
        <v>142</v>
      </c>
      <c r="R17" s="5" t="s">
        <v>126</v>
      </c>
      <c r="S17" s="37" t="s">
        <v>50</v>
      </c>
      <c r="T17" s="84" t="s">
        <v>66</v>
      </c>
    </row>
    <row r="18" spans="1:20" ht="15.75" hidden="1" thickBot="1" x14ac:dyDescent="0.3">
      <c r="A18" s="131"/>
      <c r="B18" s="87"/>
      <c r="C18" s="45"/>
      <c r="D18" s="46"/>
      <c r="E18" s="47"/>
      <c r="F18" s="45"/>
      <c r="G18" s="46"/>
      <c r="H18" s="47"/>
      <c r="I18" s="45"/>
      <c r="J18" s="46"/>
      <c r="K18" s="47"/>
      <c r="L18" s="57"/>
      <c r="M18" s="46"/>
      <c r="N18" s="58"/>
      <c r="O18" s="59">
        <f t="shared" si="0"/>
        <v>0</v>
      </c>
      <c r="P18" s="60"/>
      <c r="Q18" s="61"/>
      <c r="R18" s="5"/>
      <c r="S18" s="37"/>
      <c r="T18" s="84"/>
    </row>
    <row r="19" spans="1:20" ht="15.75" hidden="1" thickBot="1" x14ac:dyDescent="0.3">
      <c r="A19" s="131"/>
      <c r="B19" s="87"/>
      <c r="C19" s="45"/>
      <c r="D19" s="46"/>
      <c r="E19" s="47"/>
      <c r="F19" s="45"/>
      <c r="G19" s="46"/>
      <c r="H19" s="47"/>
      <c r="I19" s="45"/>
      <c r="J19" s="46"/>
      <c r="K19" s="47"/>
      <c r="L19" s="57"/>
      <c r="M19" s="46"/>
      <c r="N19" s="58"/>
      <c r="O19" s="59">
        <f>SUM(C19:N19)</f>
        <v>0</v>
      </c>
      <c r="P19" s="60"/>
      <c r="Q19" s="61"/>
      <c r="R19" s="5"/>
      <c r="S19" s="37"/>
      <c r="T19" s="84"/>
    </row>
    <row r="20" spans="1:20" ht="15.75" hidden="1" thickBot="1" x14ac:dyDescent="0.3">
      <c r="A20" s="132"/>
      <c r="B20" s="87"/>
      <c r="C20" s="62"/>
      <c r="D20" s="63"/>
      <c r="E20" s="64"/>
      <c r="F20" s="62"/>
      <c r="G20" s="63"/>
      <c r="H20" s="64"/>
      <c r="I20" s="62"/>
      <c r="J20" s="63"/>
      <c r="K20" s="64"/>
      <c r="L20" s="65"/>
      <c r="M20" s="63"/>
      <c r="N20" s="66"/>
      <c r="O20" s="67">
        <f>SUM(C20:N20)</f>
        <v>0</v>
      </c>
      <c r="P20" s="68"/>
      <c r="Q20" s="69"/>
      <c r="R20" s="6"/>
      <c r="S20" s="38"/>
      <c r="T20" s="85"/>
    </row>
    <row r="21" spans="1:20" ht="15.75" thickBot="1" x14ac:dyDescent="0.3">
      <c r="P21" s="70">
        <f>SUM(P8:P20)</f>
        <v>30449</v>
      </c>
      <c r="Q21" s="71"/>
    </row>
    <row r="22" spans="1:20" ht="15.75" thickBot="1" x14ac:dyDescent="0.3">
      <c r="Q22" s="33" t="s">
        <v>47</v>
      </c>
    </row>
    <row r="23" spans="1:20" ht="28.5" customHeight="1" thickBot="1" x14ac:dyDescent="0.3">
      <c r="B23" s="18" t="s">
        <v>19</v>
      </c>
      <c r="C23" s="107" t="s">
        <v>20</v>
      </c>
      <c r="D23" s="107"/>
      <c r="E23" s="125" t="s">
        <v>60</v>
      </c>
      <c r="F23" s="125"/>
      <c r="G23" s="126"/>
      <c r="K23" s="127" t="s">
        <v>23</v>
      </c>
      <c r="L23" s="128"/>
      <c r="M23" s="128"/>
      <c r="N23" s="129"/>
    </row>
    <row r="24" spans="1:20" ht="28.5" customHeight="1" x14ac:dyDescent="0.25">
      <c r="B24" s="86" t="s">
        <v>29</v>
      </c>
      <c r="C24" s="142">
        <f>персонал!F4</f>
        <v>6000</v>
      </c>
      <c r="D24" s="142"/>
      <c r="E24" s="144" t="s">
        <v>18</v>
      </c>
      <c r="F24" s="144"/>
      <c r="G24" s="145"/>
      <c r="K24" s="133" t="s">
        <v>24</v>
      </c>
      <c r="L24" s="134"/>
      <c r="M24" s="135"/>
      <c r="N24" s="72">
        <v>0.5</v>
      </c>
    </row>
    <row r="25" spans="1:20" ht="45" x14ac:dyDescent="0.25">
      <c r="B25" s="79" t="s">
        <v>31</v>
      </c>
      <c r="C25" s="143">
        <f>'офис '!E11</f>
        <v>7373.2</v>
      </c>
      <c r="D25" s="143"/>
      <c r="E25" s="138" t="s">
        <v>32</v>
      </c>
      <c r="F25" s="138"/>
      <c r="G25" s="139"/>
      <c r="K25" s="119"/>
      <c r="L25" s="120"/>
      <c r="M25" s="121"/>
      <c r="N25" s="72">
        <v>0</v>
      </c>
    </row>
    <row r="26" spans="1:20" ht="28.5" customHeight="1" x14ac:dyDescent="0.25">
      <c r="B26" s="80" t="s">
        <v>21</v>
      </c>
      <c r="C26" s="143">
        <v>0</v>
      </c>
      <c r="D26" s="143"/>
      <c r="E26" s="138" t="s">
        <v>54</v>
      </c>
      <c r="F26" s="138"/>
      <c r="G26" s="139"/>
      <c r="K26" s="119"/>
      <c r="L26" s="120"/>
      <c r="M26" s="121"/>
      <c r="N26" s="72">
        <v>0</v>
      </c>
    </row>
    <row r="27" spans="1:20" ht="27.75" customHeight="1" thickBot="1" x14ac:dyDescent="0.3">
      <c r="B27" s="81" t="s">
        <v>43</v>
      </c>
      <c r="C27" s="143">
        <f>ПРООН!E11</f>
        <v>2677.83</v>
      </c>
      <c r="D27" s="143"/>
      <c r="E27" s="138" t="s">
        <v>32</v>
      </c>
      <c r="F27" s="138"/>
      <c r="G27" s="139"/>
      <c r="K27" s="122"/>
      <c r="L27" s="123"/>
      <c r="M27" s="124"/>
      <c r="N27" s="73">
        <v>0</v>
      </c>
    </row>
    <row r="28" spans="1:20" ht="24" customHeight="1" thickBot="1" x14ac:dyDescent="0.3">
      <c r="B28" s="82" t="s">
        <v>43</v>
      </c>
      <c r="C28" s="146">
        <f>50000*7%</f>
        <v>3500.0000000000005</v>
      </c>
      <c r="D28" s="146"/>
      <c r="E28" s="140" t="s">
        <v>32</v>
      </c>
      <c r="F28" s="140"/>
      <c r="G28" s="141"/>
      <c r="L28" s="74"/>
      <c r="N28" s="73"/>
    </row>
    <row r="29" spans="1:20" ht="15.75" thickBot="1" x14ac:dyDescent="0.3">
      <c r="B29" s="83" t="s">
        <v>16</v>
      </c>
      <c r="C29" s="136">
        <f>SUM(C24:C28)</f>
        <v>19551.030000000002</v>
      </c>
      <c r="D29" s="137"/>
      <c r="N29" s="75">
        <f>SUM(N24:N28)</f>
        <v>0.5</v>
      </c>
    </row>
    <row r="30" spans="1:20" x14ac:dyDescent="0.25">
      <c r="C30" s="76"/>
      <c r="P30" s="98">
        <f>P21+C29</f>
        <v>50000.03</v>
      </c>
    </row>
    <row r="32" spans="1:20" x14ac:dyDescent="0.25">
      <c r="P32" s="76">
        <f>50000-P30</f>
        <v>-2.9999999998835847E-2</v>
      </c>
    </row>
  </sheetData>
  <dataConsolidate/>
  <mergeCells count="27">
    <mergeCell ref="C29:D29"/>
    <mergeCell ref="E27:G27"/>
    <mergeCell ref="E28:G28"/>
    <mergeCell ref="C24:D24"/>
    <mergeCell ref="C25:D25"/>
    <mergeCell ref="C26:D26"/>
    <mergeCell ref="E24:G24"/>
    <mergeCell ref="E25:G25"/>
    <mergeCell ref="E26:G26"/>
    <mergeCell ref="C27:D27"/>
    <mergeCell ref="C28:D28"/>
    <mergeCell ref="K26:M26"/>
    <mergeCell ref="K27:M27"/>
    <mergeCell ref="E23:G23"/>
    <mergeCell ref="K23:N23"/>
    <mergeCell ref="A15:A20"/>
    <mergeCell ref="K24:M24"/>
    <mergeCell ref="K25:M25"/>
    <mergeCell ref="A12:A14"/>
    <mergeCell ref="A8:A10"/>
    <mergeCell ref="C23:D23"/>
    <mergeCell ref="N3:O4"/>
    <mergeCell ref="L6:N6"/>
    <mergeCell ref="I3:M4"/>
    <mergeCell ref="C6:E6"/>
    <mergeCell ref="F6:H6"/>
    <mergeCell ref="I6:K6"/>
  </mergeCells>
  <conditionalFormatting sqref="C8:N20">
    <cfRule type="colorScale" priority="3">
      <colorScale>
        <cfvo type="min"/>
        <cfvo type="max"/>
        <color rgb="FFFFFFCC"/>
        <color rgb="FFFFC000"/>
      </colorScale>
    </cfRule>
  </conditionalFormatting>
  <pageMargins left="0.7" right="0.7" top="0.75" bottom="0.75" header="0.3" footer="0.3"/>
  <pageSetup paperSize="8" scale="7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LISTS!$A$2:$A$10</xm:f>
          </x14:formula1>
          <xm:sqref>E24:E28 S8:S17</xm:sqref>
        </x14:dataValidation>
        <x14:dataValidation type="list" allowBlank="1" showInputMessage="1" showErrorMessage="1">
          <x14:formula1>
            <xm:f>LISTS!$C$2:$C$5</xm:f>
          </x14:formula1>
          <xm:sqref>K24:K27</xm:sqref>
        </x14:dataValidation>
        <x14:dataValidation type="list" allowBlank="1" showInputMessage="1" showErrorMessage="1">
          <x14:formula1>
            <xm:f>LISTS!$G$2:$G$6</xm:f>
          </x14:formula1>
          <xm:sqref>B24:B28</xm:sqref>
        </x14:dataValidation>
        <x14:dataValidation type="list" allowBlank="1" showInputMessage="1" showErrorMessage="1">
          <x14:formula1>
            <xm:f>LISTS!$C$16:$C$17</xm:f>
          </x14:formula1>
          <xm:sqref>B5</xm:sqref>
        </x14:dataValidation>
        <x14:dataValidation type="list" allowBlank="1" showInputMessage="1" showErrorMessage="1">
          <x14:formula1>
            <xm:f>LISTS!$E$2:$E$13</xm:f>
          </x14:formula1>
          <xm:sqref>B8:B14</xm:sqref>
        </x14:dataValidation>
        <x14:dataValidation type="list" allowBlank="1" showInputMessage="1" showErrorMessage="1">
          <x14:formula1>
            <xm:f>LISTS!$G$9:$G$13</xm:f>
          </x14:formula1>
          <xm:sqref>T8:T20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1"/>
  <sheetViews>
    <sheetView workbookViewId="0">
      <selection activeCell="C10" sqref="C10"/>
    </sheetView>
  </sheetViews>
  <sheetFormatPr defaultRowHeight="15" x14ac:dyDescent="0.25"/>
  <cols>
    <col min="2" max="2" width="44.140625" customWidth="1"/>
    <col min="3" max="3" width="17.42578125" customWidth="1"/>
    <col min="4" max="4" width="18.85546875" customWidth="1"/>
    <col min="5" max="5" width="11.140625" customWidth="1"/>
  </cols>
  <sheetData>
    <row r="5" spans="2:5" x14ac:dyDescent="0.25">
      <c r="B5" t="s">
        <v>75</v>
      </c>
      <c r="C5" s="20"/>
      <c r="D5" s="20"/>
      <c r="E5" s="21">
        <f>'[1]5.1'!F9</f>
        <v>0</v>
      </c>
    </row>
    <row r="6" spans="2:5" x14ac:dyDescent="0.25">
      <c r="B6" s="7" t="s">
        <v>76</v>
      </c>
      <c r="C6" s="22"/>
      <c r="D6" s="22"/>
      <c r="E6" s="7"/>
    </row>
    <row r="7" spans="2:5" x14ac:dyDescent="0.25">
      <c r="B7" s="23" t="s">
        <v>77</v>
      </c>
      <c r="C7" s="22">
        <f>192.05*11</f>
        <v>2112.5500000000002</v>
      </c>
      <c r="D7" s="22">
        <f>C7</f>
        <v>2112.5500000000002</v>
      </c>
      <c r="E7" s="147">
        <f>SUM(D7:D10)</f>
        <v>2677.83</v>
      </c>
    </row>
    <row r="8" spans="2:5" x14ac:dyDescent="0.25">
      <c r="B8" s="23" t="s">
        <v>78</v>
      </c>
      <c r="C8" s="22">
        <f>11*34.48</f>
        <v>379.28</v>
      </c>
      <c r="D8" s="22">
        <f>C8</f>
        <v>379.28</v>
      </c>
      <c r="E8" s="148"/>
    </row>
    <row r="9" spans="2:5" x14ac:dyDescent="0.25">
      <c r="B9" s="23" t="s">
        <v>79</v>
      </c>
      <c r="C9" s="22">
        <f>31*6</f>
        <v>186</v>
      </c>
      <c r="D9" s="22">
        <f>C9</f>
        <v>186</v>
      </c>
      <c r="E9" s="148"/>
    </row>
    <row r="10" spans="2:5" x14ac:dyDescent="0.25">
      <c r="B10" s="24" t="s">
        <v>80</v>
      </c>
      <c r="C10" s="22">
        <v>0</v>
      </c>
      <c r="D10" s="22">
        <f>C10</f>
        <v>0</v>
      </c>
      <c r="E10" s="148"/>
    </row>
    <row r="11" spans="2:5" x14ac:dyDescent="0.25">
      <c r="B11" s="23"/>
      <c r="C11" s="22"/>
      <c r="D11" s="22"/>
      <c r="E11" s="25">
        <f>SUM(E6:E10)</f>
        <v>2677.83</v>
      </c>
    </row>
  </sheetData>
  <mergeCells count="1">
    <mergeCell ref="E7:E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9" sqref="A9"/>
    </sheetView>
  </sheetViews>
  <sheetFormatPr defaultRowHeight="15" x14ac:dyDescent="0.25"/>
  <cols>
    <col min="1" max="1" width="42.28515625" bestFit="1" customWidth="1"/>
    <col min="3" max="3" width="24" bestFit="1" customWidth="1"/>
    <col min="5" max="5" width="49.5703125" customWidth="1"/>
    <col min="7" max="7" width="34.28515625" bestFit="1" customWidth="1"/>
  </cols>
  <sheetData>
    <row r="1" spans="1:7" x14ac:dyDescent="0.25">
      <c r="A1" s="11" t="s">
        <v>48</v>
      </c>
      <c r="B1" s="3"/>
      <c r="C1" s="11" t="s">
        <v>23</v>
      </c>
      <c r="E1" s="12" t="s">
        <v>0</v>
      </c>
      <c r="G1" s="12" t="s">
        <v>19</v>
      </c>
    </row>
    <row r="2" spans="1:7" x14ac:dyDescent="0.25">
      <c r="A2" s="7" t="s">
        <v>18</v>
      </c>
      <c r="C2" s="7" t="s">
        <v>24</v>
      </c>
      <c r="E2" s="8" t="s">
        <v>9</v>
      </c>
      <c r="G2" s="7" t="s">
        <v>29</v>
      </c>
    </row>
    <row r="3" spans="1:7" ht="30" x14ac:dyDescent="0.25">
      <c r="A3" s="7" t="s">
        <v>34</v>
      </c>
      <c r="C3" s="7" t="s">
        <v>25</v>
      </c>
      <c r="E3" s="8" t="s">
        <v>8</v>
      </c>
      <c r="G3" s="8" t="s">
        <v>31</v>
      </c>
    </row>
    <row r="4" spans="1:7" x14ac:dyDescent="0.25">
      <c r="A4" s="7" t="s">
        <v>32</v>
      </c>
      <c r="C4" s="7" t="s">
        <v>26</v>
      </c>
      <c r="E4" s="8" t="s">
        <v>36</v>
      </c>
      <c r="G4" s="9" t="s">
        <v>43</v>
      </c>
    </row>
    <row r="5" spans="1:7" ht="30" x14ac:dyDescent="0.25">
      <c r="A5" s="7" t="s">
        <v>49</v>
      </c>
      <c r="C5" s="7" t="s">
        <v>27</v>
      </c>
      <c r="E5" s="8" t="s">
        <v>30</v>
      </c>
      <c r="G5" s="10" t="s">
        <v>33</v>
      </c>
    </row>
    <row r="6" spans="1:7" ht="75" x14ac:dyDescent="0.25">
      <c r="A6" s="7" t="s">
        <v>50</v>
      </c>
      <c r="E6" s="13" t="s">
        <v>35</v>
      </c>
      <c r="G6" s="9" t="s">
        <v>21</v>
      </c>
    </row>
    <row r="7" spans="1:7" ht="30" x14ac:dyDescent="0.25">
      <c r="A7" s="7" t="s">
        <v>51</v>
      </c>
      <c r="E7" s="8" t="s">
        <v>10</v>
      </c>
    </row>
    <row r="8" spans="1:7" x14ac:dyDescent="0.25">
      <c r="A8" s="7" t="s">
        <v>52</v>
      </c>
      <c r="E8" s="8" t="s">
        <v>6</v>
      </c>
      <c r="G8" s="12" t="s">
        <v>62</v>
      </c>
    </row>
    <row r="9" spans="1:7" x14ac:dyDescent="0.25">
      <c r="A9" s="7" t="s">
        <v>53</v>
      </c>
      <c r="E9" s="8" t="s">
        <v>40</v>
      </c>
      <c r="G9" s="7" t="s">
        <v>63</v>
      </c>
    </row>
    <row r="10" spans="1:7" x14ac:dyDescent="0.25">
      <c r="A10" s="7" t="s">
        <v>54</v>
      </c>
      <c r="C10" s="11" t="s">
        <v>23</v>
      </c>
      <c r="E10" s="14" t="s">
        <v>22</v>
      </c>
      <c r="G10" s="8" t="s">
        <v>12</v>
      </c>
    </row>
    <row r="11" spans="1:7" x14ac:dyDescent="0.25">
      <c r="C11" s="7" t="s">
        <v>24</v>
      </c>
      <c r="E11" s="8" t="s">
        <v>7</v>
      </c>
      <c r="G11" s="9" t="s">
        <v>64</v>
      </c>
    </row>
    <row r="12" spans="1:7" x14ac:dyDescent="0.25">
      <c r="C12" s="7" t="s">
        <v>25</v>
      </c>
      <c r="E12" s="8" t="s">
        <v>14</v>
      </c>
      <c r="G12" s="10" t="s">
        <v>65</v>
      </c>
    </row>
    <row r="13" spans="1:7" x14ac:dyDescent="0.25">
      <c r="E13" s="15" t="s">
        <v>15</v>
      </c>
      <c r="G13" s="9" t="s">
        <v>66</v>
      </c>
    </row>
    <row r="14" spans="1:7" x14ac:dyDescent="0.25">
      <c r="E14" s="7" t="s">
        <v>59</v>
      </c>
    </row>
    <row r="15" spans="1:7" x14ac:dyDescent="0.25">
      <c r="C15" s="11" t="s">
        <v>56</v>
      </c>
    </row>
    <row r="16" spans="1:7" x14ac:dyDescent="0.25">
      <c r="C16" s="7" t="s">
        <v>57</v>
      </c>
    </row>
    <row r="17" spans="3:3" x14ac:dyDescent="0.25">
      <c r="C17" s="7" t="s">
        <v>58</v>
      </c>
    </row>
  </sheetData>
  <sortState ref="G3:G6">
    <sortCondition ref="G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workbookViewId="0">
      <selection activeCell="C3" sqref="C3"/>
    </sheetView>
  </sheetViews>
  <sheetFormatPr defaultRowHeight="15" x14ac:dyDescent="0.25"/>
  <cols>
    <col min="2" max="2" width="20.42578125" customWidth="1"/>
    <col min="3" max="3" width="10.5703125" bestFit="1" customWidth="1"/>
    <col min="4" max="4" width="11.42578125" customWidth="1"/>
    <col min="6" max="6" width="10.5703125" bestFit="1" customWidth="1"/>
    <col min="8" max="8" width="9.5703125" bestFit="1" customWidth="1"/>
  </cols>
  <sheetData>
    <row r="2" spans="2:9" ht="30" x14ac:dyDescent="0.25">
      <c r="B2" s="7"/>
      <c r="C2" s="8" t="s">
        <v>69</v>
      </c>
      <c r="D2" s="8" t="s">
        <v>72</v>
      </c>
      <c r="E2" s="8" t="s">
        <v>70</v>
      </c>
      <c r="F2" s="7" t="s">
        <v>71</v>
      </c>
      <c r="H2" s="90" t="s">
        <v>132</v>
      </c>
    </row>
    <row r="3" spans="2:9" ht="60" x14ac:dyDescent="0.25">
      <c r="B3" s="8" t="s">
        <v>135</v>
      </c>
      <c r="C3" s="89">
        <v>1000</v>
      </c>
      <c r="D3" s="28">
        <v>0.5</v>
      </c>
      <c r="E3" s="7">
        <v>12</v>
      </c>
      <c r="F3" s="88">
        <f>C3*D3*E3</f>
        <v>6000</v>
      </c>
      <c r="H3" s="91">
        <f>C3*3.5/2</f>
        <v>1750</v>
      </c>
      <c r="I3" t="s">
        <v>137</v>
      </c>
    </row>
    <row r="4" spans="2:9" x14ac:dyDescent="0.25">
      <c r="F4" s="19">
        <f>SUM(F3:F3)</f>
        <v>6000</v>
      </c>
      <c r="H4" s="91">
        <f>H3-H3*20%</f>
        <v>1400</v>
      </c>
      <c r="I4" t="s">
        <v>138</v>
      </c>
    </row>
    <row r="5" spans="2:9" x14ac:dyDescent="0.25">
      <c r="H5" s="92">
        <f>H4/3.5</f>
        <v>400</v>
      </c>
      <c r="I5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workbookViewId="0">
      <selection activeCell="E6" sqref="E6:E10"/>
    </sheetView>
  </sheetViews>
  <sheetFormatPr defaultRowHeight="15" x14ac:dyDescent="0.25"/>
  <cols>
    <col min="2" max="2" width="35.28515625" customWidth="1"/>
    <col min="3" max="3" width="10.5703125" bestFit="1" customWidth="1"/>
    <col min="5" max="5" width="10.5703125" bestFit="1" customWidth="1"/>
    <col min="7" max="7" width="35.7109375" customWidth="1"/>
    <col min="8" max="8" width="10.140625" customWidth="1"/>
  </cols>
  <sheetData>
    <row r="3" spans="2:9" x14ac:dyDescent="0.25">
      <c r="B3" s="7"/>
      <c r="C3" s="8" t="s">
        <v>73</v>
      </c>
      <c r="D3" s="8" t="s">
        <v>74</v>
      </c>
      <c r="E3" s="7" t="s">
        <v>71</v>
      </c>
    </row>
    <row r="4" spans="2:9" x14ac:dyDescent="0.25">
      <c r="B4" s="7" t="s">
        <v>129</v>
      </c>
      <c r="C4" s="89">
        <v>1000</v>
      </c>
      <c r="D4" s="7">
        <v>1</v>
      </c>
      <c r="E4" s="89">
        <f>C4*D4</f>
        <v>1000</v>
      </c>
    </row>
    <row r="5" spans="2:9" x14ac:dyDescent="0.25">
      <c r="B5" s="7" t="s">
        <v>130</v>
      </c>
      <c r="C5" s="89">
        <v>500</v>
      </c>
      <c r="D5" s="7">
        <v>1</v>
      </c>
      <c r="E5" s="89">
        <f t="shared" ref="E5:E10" si="0">C5*D5</f>
        <v>500</v>
      </c>
    </row>
    <row r="6" spans="2:9" x14ac:dyDescent="0.25">
      <c r="B6" s="7" t="s">
        <v>97</v>
      </c>
      <c r="C6" s="89">
        <v>45</v>
      </c>
      <c r="D6" s="7">
        <v>4</v>
      </c>
      <c r="E6" s="89">
        <f t="shared" si="0"/>
        <v>180</v>
      </c>
    </row>
    <row r="7" spans="2:9" x14ac:dyDescent="0.25">
      <c r="B7" s="7" t="s">
        <v>143</v>
      </c>
      <c r="C7" s="89">
        <v>100</v>
      </c>
      <c r="D7" s="7">
        <v>2</v>
      </c>
      <c r="E7" s="89">
        <f t="shared" si="0"/>
        <v>200</v>
      </c>
    </row>
    <row r="8" spans="2:9" x14ac:dyDescent="0.25">
      <c r="B8" s="7" t="s">
        <v>131</v>
      </c>
      <c r="C8" s="89">
        <v>20</v>
      </c>
      <c r="D8" s="7">
        <v>4</v>
      </c>
      <c r="E8" s="89">
        <f t="shared" si="0"/>
        <v>80</v>
      </c>
    </row>
    <row r="9" spans="2:9" ht="60" x14ac:dyDescent="0.25">
      <c r="B9" s="8" t="s">
        <v>139</v>
      </c>
      <c r="C9" s="89">
        <v>300</v>
      </c>
      <c r="D9" s="7">
        <v>12</v>
      </c>
      <c r="E9" s="89">
        <f t="shared" si="0"/>
        <v>3600</v>
      </c>
      <c r="F9" s="93">
        <f>C9-C9*20%</f>
        <v>240</v>
      </c>
      <c r="G9" s="30" t="s">
        <v>140</v>
      </c>
      <c r="H9" s="91">
        <f>F9*3.5</f>
        <v>840</v>
      </c>
      <c r="I9" t="s">
        <v>132</v>
      </c>
    </row>
    <row r="10" spans="2:9" x14ac:dyDescent="0.25">
      <c r="B10" s="7" t="s">
        <v>98</v>
      </c>
      <c r="C10" s="89">
        <v>151.1</v>
      </c>
      <c r="D10" s="7">
        <v>12</v>
      </c>
      <c r="E10" s="89">
        <f t="shared" si="0"/>
        <v>1813.1999999999998</v>
      </c>
    </row>
    <row r="11" spans="2:9" x14ac:dyDescent="0.25">
      <c r="E11" s="94">
        <f>SUM(E4:E10)</f>
        <v>7373.2</v>
      </c>
    </row>
    <row r="14" spans="2:9" ht="30" hidden="1" x14ac:dyDescent="0.25">
      <c r="B14" s="8" t="s">
        <v>96</v>
      </c>
      <c r="C14" s="7">
        <v>300</v>
      </c>
      <c r="D14" s="7">
        <v>4</v>
      </c>
      <c r="E14" s="27">
        <f t="shared" ref="E14" si="1">C14*D14</f>
        <v>1200</v>
      </c>
    </row>
    <row r="15" spans="2:9" x14ac:dyDescent="0.25">
      <c r="I15">
        <v>1000</v>
      </c>
    </row>
    <row r="16" spans="2:9" x14ac:dyDescent="0.25">
      <c r="I16">
        <f>I15/3.5</f>
        <v>285.71428571428572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0"/>
  <sheetViews>
    <sheetView workbookViewId="0">
      <selection activeCell="C7" sqref="C7"/>
    </sheetView>
  </sheetViews>
  <sheetFormatPr defaultRowHeight="15" x14ac:dyDescent="0.25"/>
  <cols>
    <col min="2" max="2" width="17.140625" customWidth="1"/>
    <col min="3" max="3" width="10.5703125" bestFit="1" customWidth="1"/>
    <col min="6" max="6" width="10.5703125" bestFit="1" customWidth="1"/>
  </cols>
  <sheetData>
    <row r="5" spans="2:6" ht="30" x14ac:dyDescent="0.25">
      <c r="B5" s="7"/>
      <c r="C5" s="7" t="s">
        <v>84</v>
      </c>
      <c r="D5" s="8" t="s">
        <v>85</v>
      </c>
      <c r="E5" s="8" t="s">
        <v>89</v>
      </c>
      <c r="F5" s="7" t="s">
        <v>86</v>
      </c>
    </row>
    <row r="6" spans="2:6" x14ac:dyDescent="0.25">
      <c r="B6" s="7" t="s">
        <v>81</v>
      </c>
      <c r="C6" s="89">
        <v>1000</v>
      </c>
      <c r="D6" s="7">
        <v>2</v>
      </c>
      <c r="E6" s="7">
        <v>1</v>
      </c>
      <c r="F6" s="89">
        <f>C6*D6*E6</f>
        <v>2000</v>
      </c>
    </row>
    <row r="7" spans="2:6" x14ac:dyDescent="0.25">
      <c r="B7" s="7" t="s">
        <v>82</v>
      </c>
      <c r="C7" s="89">
        <f>38*4</f>
        <v>152</v>
      </c>
      <c r="D7" s="7">
        <v>2</v>
      </c>
      <c r="E7" s="7">
        <v>1</v>
      </c>
      <c r="F7" s="89">
        <f t="shared" ref="F7:F9" si="0">C7*D7*E7</f>
        <v>304</v>
      </c>
    </row>
    <row r="8" spans="2:6" x14ac:dyDescent="0.25">
      <c r="B8" s="7" t="s">
        <v>83</v>
      </c>
      <c r="C8" s="89">
        <v>350</v>
      </c>
      <c r="D8" s="7">
        <v>2</v>
      </c>
      <c r="E8" s="7">
        <v>4</v>
      </c>
      <c r="F8" s="89">
        <f t="shared" si="0"/>
        <v>2800</v>
      </c>
    </row>
    <row r="9" spans="2:6" x14ac:dyDescent="0.25">
      <c r="B9" s="7" t="s">
        <v>90</v>
      </c>
      <c r="C9" s="89">
        <v>100</v>
      </c>
      <c r="D9" s="7">
        <v>2</v>
      </c>
      <c r="E9" s="7">
        <v>1</v>
      </c>
      <c r="F9" s="89">
        <f t="shared" si="0"/>
        <v>200</v>
      </c>
    </row>
    <row r="10" spans="2:6" x14ac:dyDescent="0.25">
      <c r="F10" s="94">
        <f>SUM(F6:F9)+8</f>
        <v>5312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D18" sqref="D18"/>
    </sheetView>
  </sheetViews>
  <sheetFormatPr defaultRowHeight="15" x14ac:dyDescent="0.25"/>
  <cols>
    <col min="2" max="2" width="23.28515625" customWidth="1"/>
  </cols>
  <sheetData>
    <row r="2" spans="2:5" x14ac:dyDescent="0.25">
      <c r="B2" s="26" t="s">
        <v>91</v>
      </c>
    </row>
    <row r="3" spans="2:5" x14ac:dyDescent="0.25">
      <c r="B3" t="s">
        <v>85</v>
      </c>
      <c r="C3">
        <v>25</v>
      </c>
    </row>
    <row r="4" spans="2:5" x14ac:dyDescent="0.25">
      <c r="B4" s="7"/>
      <c r="C4" s="7" t="s">
        <v>84</v>
      </c>
      <c r="D4" s="7" t="s">
        <v>99</v>
      </c>
      <c r="E4" s="7" t="s">
        <v>86</v>
      </c>
    </row>
    <row r="5" spans="2:5" x14ac:dyDescent="0.25">
      <c r="B5" s="7" t="s">
        <v>92</v>
      </c>
      <c r="C5" s="101">
        <v>0.5</v>
      </c>
      <c r="D5" s="7">
        <f>C3</f>
        <v>25</v>
      </c>
      <c r="E5" s="99">
        <f>C5*D5</f>
        <v>12.5</v>
      </c>
    </row>
    <row r="6" spans="2:5" ht="33" customHeight="1" x14ac:dyDescent="0.25">
      <c r="B6" s="8" t="s">
        <v>100</v>
      </c>
      <c r="C6" s="89">
        <v>55</v>
      </c>
      <c r="D6" s="7">
        <v>4</v>
      </c>
      <c r="E6" s="99">
        <f>C6*D6</f>
        <v>220</v>
      </c>
    </row>
    <row r="7" spans="2:5" ht="33" customHeight="1" x14ac:dyDescent="0.25">
      <c r="B7" s="8" t="s">
        <v>101</v>
      </c>
      <c r="C7" s="89">
        <f>50*40%</f>
        <v>20</v>
      </c>
      <c r="D7" s="7">
        <v>4</v>
      </c>
      <c r="E7" s="99">
        <f>D7*C7</f>
        <v>80</v>
      </c>
    </row>
    <row r="8" spans="2:5" x14ac:dyDescent="0.25">
      <c r="B8" s="7" t="s">
        <v>93</v>
      </c>
      <c r="C8" s="89">
        <v>2</v>
      </c>
      <c r="D8" s="7">
        <f>C3</f>
        <v>25</v>
      </c>
      <c r="E8" s="99">
        <f>C8*D8</f>
        <v>50</v>
      </c>
    </row>
    <row r="9" spans="2:5" x14ac:dyDescent="0.25">
      <c r="E9" s="100">
        <f>SUM(E5:E8)</f>
        <v>362.5</v>
      </c>
    </row>
    <row r="12" spans="2:5" x14ac:dyDescent="0.25">
      <c r="B12" s="26" t="s">
        <v>94</v>
      </c>
      <c r="C12" s="26"/>
    </row>
    <row r="13" spans="2:5" x14ac:dyDescent="0.25">
      <c r="B13" t="s">
        <v>68</v>
      </c>
      <c r="C13">
        <v>9</v>
      </c>
    </row>
    <row r="14" spans="2:5" x14ac:dyDescent="0.25">
      <c r="C14" t="s">
        <v>84</v>
      </c>
      <c r="D14" t="s">
        <v>99</v>
      </c>
      <c r="E14" t="s">
        <v>86</v>
      </c>
    </row>
    <row r="15" spans="2:5" x14ac:dyDescent="0.25">
      <c r="B15" s="7" t="s">
        <v>95</v>
      </c>
      <c r="C15" s="89">
        <v>7</v>
      </c>
      <c r="D15" s="7">
        <v>15</v>
      </c>
      <c r="E15" s="99">
        <f>C15*D15</f>
        <v>105</v>
      </c>
    </row>
    <row r="16" spans="2:5" x14ac:dyDescent="0.25">
      <c r="B16" s="7" t="s">
        <v>93</v>
      </c>
      <c r="C16" s="89">
        <v>3</v>
      </c>
      <c r="D16" s="7">
        <f>C13</f>
        <v>9</v>
      </c>
      <c r="E16" s="99">
        <f>C16*D16</f>
        <v>27</v>
      </c>
    </row>
    <row r="17" spans="2:5" x14ac:dyDescent="0.25">
      <c r="B17" s="7" t="s">
        <v>92</v>
      </c>
      <c r="C17" s="101">
        <v>0.5</v>
      </c>
      <c r="D17" s="7">
        <v>30</v>
      </c>
      <c r="E17" s="99">
        <f>SUM(E15:E16)</f>
        <v>132</v>
      </c>
    </row>
    <row r="18" spans="2:5" x14ac:dyDescent="0.25">
      <c r="E18" s="100">
        <f>SUM(E15:E17)</f>
        <v>264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workbookViewId="0">
      <selection activeCell="E9" sqref="E9"/>
    </sheetView>
  </sheetViews>
  <sheetFormatPr defaultRowHeight="15" x14ac:dyDescent="0.25"/>
  <cols>
    <col min="2" max="2" width="13.140625" customWidth="1"/>
    <col min="6" max="6" width="12.7109375" customWidth="1"/>
  </cols>
  <sheetData>
    <row r="3" spans="2:6" ht="30" x14ac:dyDescent="0.25">
      <c r="B3" s="30" t="s">
        <v>85</v>
      </c>
      <c r="C3" s="30">
        <v>20</v>
      </c>
      <c r="D3" s="30"/>
      <c r="E3" s="30"/>
      <c r="F3" s="30"/>
    </row>
    <row r="4" spans="2:6" x14ac:dyDescent="0.25">
      <c r="B4" s="8"/>
      <c r="C4" s="8" t="s">
        <v>84</v>
      </c>
      <c r="D4" s="8" t="s">
        <v>99</v>
      </c>
      <c r="E4" s="8" t="s">
        <v>102</v>
      </c>
      <c r="F4" s="8" t="s">
        <v>86</v>
      </c>
    </row>
    <row r="5" spans="2:6" x14ac:dyDescent="0.25">
      <c r="B5" s="8" t="s">
        <v>105</v>
      </c>
      <c r="C5" s="95">
        <v>150</v>
      </c>
      <c r="D5" s="8">
        <v>1</v>
      </c>
      <c r="E5" s="8">
        <v>2</v>
      </c>
      <c r="F5" s="95">
        <f>C5*D5*E5</f>
        <v>300</v>
      </c>
    </row>
    <row r="6" spans="2:6" x14ac:dyDescent="0.25">
      <c r="B6" s="8" t="s">
        <v>92</v>
      </c>
      <c r="C6" s="95">
        <v>0.5</v>
      </c>
      <c r="D6" s="8">
        <f>C3*2</f>
        <v>40</v>
      </c>
      <c r="E6" s="8">
        <v>2</v>
      </c>
      <c r="F6" s="95">
        <f>C6*D6*E6</f>
        <v>40</v>
      </c>
    </row>
    <row r="7" spans="2:6" ht="45" x14ac:dyDescent="0.25">
      <c r="B7" s="8" t="s">
        <v>100</v>
      </c>
      <c r="C7" s="95">
        <v>55</v>
      </c>
      <c r="D7" s="8">
        <v>5</v>
      </c>
      <c r="E7" s="8">
        <v>1</v>
      </c>
      <c r="F7" s="95">
        <f>C7*D7</f>
        <v>275</v>
      </c>
    </row>
    <row r="8" spans="2:6" ht="45" x14ac:dyDescent="0.25">
      <c r="B8" s="8" t="s">
        <v>101</v>
      </c>
      <c r="C8" s="95">
        <v>50</v>
      </c>
      <c r="D8" s="8">
        <v>5</v>
      </c>
      <c r="E8" s="8">
        <v>2</v>
      </c>
      <c r="F8" s="95">
        <f>D8*C8</f>
        <v>250</v>
      </c>
    </row>
    <row r="9" spans="2:6" x14ac:dyDescent="0.25">
      <c r="B9" s="8" t="s">
        <v>93</v>
      </c>
      <c r="C9" s="95">
        <v>5</v>
      </c>
      <c r="D9" s="8">
        <f>C3</f>
        <v>20</v>
      </c>
      <c r="E9" s="8">
        <v>1</v>
      </c>
      <c r="F9" s="95">
        <f>C9*D9</f>
        <v>100</v>
      </c>
    </row>
    <row r="10" spans="2:6" x14ac:dyDescent="0.25">
      <c r="B10" s="8" t="s">
        <v>106</v>
      </c>
      <c r="C10" s="95">
        <v>3</v>
      </c>
      <c r="D10" s="8">
        <v>25</v>
      </c>
      <c r="E10" s="8">
        <v>1</v>
      </c>
      <c r="F10" s="95">
        <f>C10*D10</f>
        <v>75</v>
      </c>
    </row>
    <row r="11" spans="2:6" x14ac:dyDescent="0.25">
      <c r="B11" s="8" t="s">
        <v>103</v>
      </c>
      <c r="C11" s="95">
        <v>7</v>
      </c>
      <c r="D11" s="8">
        <f>C3*2</f>
        <v>40</v>
      </c>
      <c r="E11" s="8">
        <v>2</v>
      </c>
      <c r="F11" s="95">
        <f>C11*D11</f>
        <v>280</v>
      </c>
    </row>
    <row r="12" spans="2:6" x14ac:dyDescent="0.25">
      <c r="B12" s="8" t="s">
        <v>104</v>
      </c>
      <c r="C12" s="95">
        <v>22</v>
      </c>
      <c r="D12" s="8">
        <f>C3</f>
        <v>20</v>
      </c>
      <c r="E12" s="8">
        <v>2</v>
      </c>
      <c r="F12" s="95">
        <f>C12*D12</f>
        <v>440</v>
      </c>
    </row>
    <row r="13" spans="2:6" x14ac:dyDescent="0.25">
      <c r="B13" s="31" t="s">
        <v>107</v>
      </c>
      <c r="C13" s="32"/>
      <c r="D13" s="31"/>
      <c r="E13" s="31"/>
      <c r="F13" s="96"/>
    </row>
    <row r="14" spans="2:6" x14ac:dyDescent="0.25">
      <c r="F14" s="97">
        <f>SUM(F5:F13)</f>
        <v>1760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workbookViewId="0">
      <selection activeCell="F19" sqref="F19"/>
    </sheetView>
  </sheetViews>
  <sheetFormatPr defaultRowHeight="15" x14ac:dyDescent="0.25"/>
  <cols>
    <col min="2" max="2" width="20.140625" customWidth="1"/>
    <col min="3" max="3" width="10.5703125" bestFit="1" customWidth="1"/>
    <col min="6" max="6" width="12.42578125" customWidth="1"/>
  </cols>
  <sheetData>
    <row r="4" spans="2:6" ht="30" x14ac:dyDescent="0.25">
      <c r="B4" s="7"/>
      <c r="C4" s="7" t="s">
        <v>84</v>
      </c>
      <c r="D4" s="8" t="s">
        <v>85</v>
      </c>
      <c r="E4" s="8" t="s">
        <v>89</v>
      </c>
      <c r="F4" s="7" t="s">
        <v>86</v>
      </c>
    </row>
    <row r="5" spans="2:6" x14ac:dyDescent="0.25">
      <c r="B5" s="7" t="s">
        <v>81</v>
      </c>
      <c r="C5" s="88">
        <v>1000</v>
      </c>
      <c r="D5" s="7">
        <v>1</v>
      </c>
      <c r="E5" s="7">
        <v>1</v>
      </c>
      <c r="F5" s="88">
        <f>C5*D5*E5</f>
        <v>1000</v>
      </c>
    </row>
    <row r="6" spans="2:6" x14ac:dyDescent="0.25">
      <c r="B6" s="7" t="s">
        <v>82</v>
      </c>
      <c r="C6" s="88">
        <f>38*4</f>
        <v>152</v>
      </c>
      <c r="D6" s="7">
        <v>1</v>
      </c>
      <c r="E6" s="7">
        <v>1</v>
      </c>
      <c r="F6" s="88">
        <f t="shared" ref="F6:F9" si="0">C6*D6*E6</f>
        <v>152</v>
      </c>
    </row>
    <row r="7" spans="2:6" x14ac:dyDescent="0.25">
      <c r="B7" s="7" t="s">
        <v>83</v>
      </c>
      <c r="C7" s="88">
        <v>249</v>
      </c>
      <c r="D7" s="7">
        <v>1</v>
      </c>
      <c r="E7" s="7">
        <v>3</v>
      </c>
      <c r="F7" s="88">
        <f t="shared" si="0"/>
        <v>747</v>
      </c>
    </row>
    <row r="8" spans="2:6" x14ac:dyDescent="0.25">
      <c r="B8" s="7" t="s">
        <v>87</v>
      </c>
      <c r="C8" s="88">
        <v>300</v>
      </c>
      <c r="D8" s="7">
        <v>1</v>
      </c>
      <c r="E8" s="7">
        <v>4</v>
      </c>
      <c r="F8" s="88">
        <f t="shared" si="0"/>
        <v>1200</v>
      </c>
    </row>
    <row r="9" spans="2:6" x14ac:dyDescent="0.25">
      <c r="B9" s="7" t="s">
        <v>88</v>
      </c>
      <c r="C9" s="88">
        <v>21</v>
      </c>
      <c r="D9" s="7">
        <v>1</v>
      </c>
      <c r="E9" s="7">
        <v>1</v>
      </c>
      <c r="F9" s="88">
        <f t="shared" si="0"/>
        <v>21</v>
      </c>
    </row>
    <row r="10" spans="2:6" x14ac:dyDescent="0.25">
      <c r="F10" s="92">
        <f>SUM(F5:F9)</f>
        <v>3120</v>
      </c>
    </row>
    <row r="13" spans="2:6" ht="30" x14ac:dyDescent="0.25">
      <c r="B13" s="7"/>
      <c r="C13" s="7" t="s">
        <v>84</v>
      </c>
      <c r="D13" s="8" t="s">
        <v>85</v>
      </c>
      <c r="E13" s="8" t="s">
        <v>89</v>
      </c>
      <c r="F13" s="7" t="s">
        <v>86</v>
      </c>
    </row>
    <row r="14" spans="2:6" x14ac:dyDescent="0.25">
      <c r="B14" s="7" t="s">
        <v>81</v>
      </c>
      <c r="C14" s="88">
        <f>1181-59</f>
        <v>1122</v>
      </c>
      <c r="D14" s="7">
        <v>1</v>
      </c>
      <c r="E14" s="7">
        <v>1</v>
      </c>
      <c r="F14" s="88">
        <f>C14*D14*E14</f>
        <v>1122</v>
      </c>
    </row>
    <row r="15" spans="2:6" x14ac:dyDescent="0.25">
      <c r="B15" s="7" t="s">
        <v>82</v>
      </c>
      <c r="C15" s="88">
        <f>38*4</f>
        <v>152</v>
      </c>
      <c r="D15" s="7">
        <v>1</v>
      </c>
      <c r="E15" s="7">
        <v>1</v>
      </c>
      <c r="F15" s="88">
        <f t="shared" ref="F15:F18" si="1">C15*D15*E15</f>
        <v>152</v>
      </c>
    </row>
    <row r="16" spans="2:6" x14ac:dyDescent="0.25">
      <c r="B16" s="7" t="s">
        <v>83</v>
      </c>
      <c r="C16" s="88">
        <v>249</v>
      </c>
      <c r="D16" s="7">
        <v>1</v>
      </c>
      <c r="E16" s="7">
        <v>10</v>
      </c>
      <c r="F16" s="88">
        <f t="shared" si="1"/>
        <v>2490</v>
      </c>
    </row>
    <row r="17" spans="2:6" x14ac:dyDescent="0.25">
      <c r="B17" s="7" t="s">
        <v>87</v>
      </c>
      <c r="C17" s="88">
        <v>400</v>
      </c>
      <c r="D17" s="7">
        <v>1</v>
      </c>
      <c r="E17" s="7">
        <v>16</v>
      </c>
      <c r="F17" s="88">
        <f t="shared" si="1"/>
        <v>6400</v>
      </c>
    </row>
    <row r="18" spans="2:6" x14ac:dyDescent="0.25">
      <c r="B18" s="7" t="s">
        <v>88</v>
      </c>
      <c r="C18" s="88">
        <v>21</v>
      </c>
      <c r="D18" s="7">
        <v>1</v>
      </c>
      <c r="E18" s="7">
        <v>1</v>
      </c>
      <c r="F18" s="88">
        <f t="shared" si="1"/>
        <v>21</v>
      </c>
    </row>
    <row r="19" spans="2:6" x14ac:dyDescent="0.25">
      <c r="F19" s="92">
        <f>SUM(F14:F18)</f>
        <v>10185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8"/>
  <sheetViews>
    <sheetView workbookViewId="0">
      <selection activeCell="C8" sqref="C8"/>
    </sheetView>
  </sheetViews>
  <sheetFormatPr defaultRowHeight="15" x14ac:dyDescent="0.25"/>
  <cols>
    <col min="2" max="2" width="20.42578125" customWidth="1"/>
    <col min="3" max="3" width="9.5703125" bestFit="1" customWidth="1"/>
  </cols>
  <sheetData>
    <row r="4" spans="2:5" ht="30" x14ac:dyDescent="0.25">
      <c r="B4" s="7"/>
      <c r="C4" s="7" t="s">
        <v>84</v>
      </c>
      <c r="D4" s="8" t="s">
        <v>85</v>
      </c>
      <c r="E4" s="7" t="s">
        <v>86</v>
      </c>
    </row>
    <row r="5" spans="2:5" x14ac:dyDescent="0.25">
      <c r="B5" s="7" t="s">
        <v>81</v>
      </c>
      <c r="C5" s="88">
        <v>55</v>
      </c>
      <c r="D5" s="7">
        <v>2</v>
      </c>
      <c r="E5" s="88">
        <f t="shared" ref="E5:E7" si="0">C5*D5</f>
        <v>110</v>
      </c>
    </row>
    <row r="6" spans="2:5" x14ac:dyDescent="0.25">
      <c r="B6" s="7" t="s">
        <v>144</v>
      </c>
      <c r="C6" s="88">
        <v>30</v>
      </c>
      <c r="D6" s="7">
        <v>2</v>
      </c>
      <c r="E6" s="88">
        <f t="shared" si="0"/>
        <v>60</v>
      </c>
    </row>
    <row r="7" spans="2:5" x14ac:dyDescent="0.25">
      <c r="B7" s="7" t="s">
        <v>83</v>
      </c>
      <c r="C7" s="88">
        <f>50*40%</f>
        <v>20</v>
      </c>
      <c r="D7" s="7">
        <v>2</v>
      </c>
      <c r="E7" s="88">
        <f t="shared" si="0"/>
        <v>40</v>
      </c>
    </row>
    <row r="8" spans="2:5" x14ac:dyDescent="0.25">
      <c r="B8" s="7"/>
      <c r="C8" s="88"/>
      <c r="D8" s="7"/>
      <c r="E8" s="88">
        <f>SUM(E5:E7)</f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0"/>
  <sheetViews>
    <sheetView workbookViewId="0">
      <selection activeCell="C10" sqref="C10"/>
    </sheetView>
  </sheetViews>
  <sheetFormatPr defaultRowHeight="15" x14ac:dyDescent="0.25"/>
  <cols>
    <col min="2" max="2" width="23.42578125" customWidth="1"/>
    <col min="3" max="3" width="11.85546875" customWidth="1"/>
    <col min="6" max="6" width="10.5703125" bestFit="1" customWidth="1"/>
  </cols>
  <sheetData>
    <row r="4" spans="2:6" ht="30" x14ac:dyDescent="0.25">
      <c r="B4" s="7"/>
      <c r="C4" s="7" t="s">
        <v>118</v>
      </c>
      <c r="D4" s="8" t="s">
        <v>85</v>
      </c>
      <c r="E4" s="8" t="s">
        <v>119</v>
      </c>
      <c r="F4" s="7" t="s">
        <v>86</v>
      </c>
    </row>
    <row r="5" spans="2:6" x14ac:dyDescent="0.25">
      <c r="B5" s="7" t="s">
        <v>124</v>
      </c>
      <c r="C5" s="88">
        <v>500</v>
      </c>
      <c r="D5" s="7">
        <v>2</v>
      </c>
      <c r="E5" s="7">
        <v>2</v>
      </c>
      <c r="F5" s="88">
        <f>C5*D5*E5</f>
        <v>2000</v>
      </c>
    </row>
    <row r="6" spans="2:6" x14ac:dyDescent="0.25">
      <c r="B6" s="7" t="s">
        <v>120</v>
      </c>
      <c r="C6" s="88">
        <v>600</v>
      </c>
      <c r="D6" s="7">
        <v>1</v>
      </c>
      <c r="E6" s="7">
        <v>0.5</v>
      </c>
      <c r="F6" s="88">
        <f t="shared" ref="F6:F7" si="0">C6*D6*E6</f>
        <v>300</v>
      </c>
    </row>
    <row r="7" spans="2:6" x14ac:dyDescent="0.25">
      <c r="B7" s="7" t="s">
        <v>121</v>
      </c>
      <c r="C7" s="88">
        <v>0.7</v>
      </c>
      <c r="D7" s="7">
        <v>2000</v>
      </c>
      <c r="E7" s="7">
        <v>1</v>
      </c>
      <c r="F7" s="88">
        <f t="shared" si="0"/>
        <v>1400</v>
      </c>
    </row>
    <row r="8" spans="2:6" x14ac:dyDescent="0.25">
      <c r="B8" s="7" t="s">
        <v>122</v>
      </c>
      <c r="C8" s="88">
        <v>0.7</v>
      </c>
      <c r="D8" s="7">
        <v>2000</v>
      </c>
      <c r="E8" s="7">
        <v>1</v>
      </c>
      <c r="F8" s="88">
        <f t="shared" ref="F8:F9" si="1">C8*D8*E8</f>
        <v>1400</v>
      </c>
    </row>
    <row r="9" spans="2:6" x14ac:dyDescent="0.25">
      <c r="B9" s="7" t="s">
        <v>123</v>
      </c>
      <c r="C9" s="88">
        <v>0.7</v>
      </c>
      <c r="D9" s="7">
        <v>1500</v>
      </c>
      <c r="E9" s="7">
        <v>1</v>
      </c>
      <c r="F9" s="88">
        <f t="shared" si="1"/>
        <v>1050</v>
      </c>
    </row>
    <row r="10" spans="2:6" x14ac:dyDescent="0.25">
      <c r="F10" s="92">
        <f>SUM(F5:F9)</f>
        <v>6150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161f5b-24a3-4c2d-bc81-44cb9325e8ee">ATLASPDC-4-63459</_dlc_DocId>
    <_dlc_DocIdUrl xmlns="f1161f5b-24a3-4c2d-bc81-44cb9325e8ee">
      <Url>https://info.undp.org/docs/pdc/_layouts/DocIdRedir.aspx?ID=ATLASPDC-4-63459</Url>
      <Description>ATLASPDC-4-63459</Description>
    </_dlc_DocIdUrl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2017-05-04T04:00:00+00:00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Countries</TermName>
          <TermId xmlns="http://schemas.microsoft.com/office/infopath/2007/PartnerControls">2f9ec5a1-3eec-45d6-8645-ed5d87180aba</TermId>
        </TermInfo>
      </Terms>
    </UNDPCountryTaxHTField0>
    <UndpOUCode xmlns="1ed4137b-41b2-488b-8250-6d369ec27664">TKM</UndpOUCode>
    <PDC_x0020_Document_x0020_Category xmlns="f1161f5b-24a3-4c2d-bc81-44cb9325e8ee">Proposal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Democratic Governance</TermName>
          <TermId xmlns="http://schemas.microsoft.com/office/infopath/2007/PartnerControls">62461a33-f823-4f1a-904d-8e902184b1d7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Prodoc</TermName>
          <TermId xmlns="http://schemas.microsoft.com/office/infopath/2007/PartnerControls">099f975e-b4d9-4bba-a499-dbcc387c61ad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1114</Value>
      <Value>227</Value>
      <Value>1110</Value>
      <Value>1670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00103539</UndpProjectNo>
    <UndpDocStatus xmlns="1ed4137b-41b2-488b-8250-6d369ec27664">Draft</UndpDocStatus>
    <Outcome1 xmlns="f1161f5b-24a3-4c2d-bc81-44cb9325e8ee">00105526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TKM</TermName>
          <TermId xmlns="http://schemas.microsoft.com/office/infopath/2007/PartnerControls">8a730513-0bff-4437-96ef-14bf81511455</TermId>
        </TermInfo>
      </Terms>
    </gc6531b704974d528487414686b72f6f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69F0A7-E498-498E-81B3-68A4F4EFE877}"/>
</file>

<file path=customXml/itemProps2.xml><?xml version="1.0" encoding="utf-8"?>
<ds:datastoreItem xmlns:ds="http://schemas.openxmlformats.org/officeDocument/2006/customXml" ds:itemID="{E4633426-5F21-4C32-A3F2-4BE3FFA9F663}"/>
</file>

<file path=customXml/itemProps3.xml><?xml version="1.0" encoding="utf-8"?>
<ds:datastoreItem xmlns:ds="http://schemas.openxmlformats.org/officeDocument/2006/customXml" ds:itemID="{F5E4F6C0-0521-4257-ABC1-A0526319CCA7}"/>
</file>

<file path=customXml/itemProps4.xml><?xml version="1.0" encoding="utf-8"?>
<ds:datastoreItem xmlns:ds="http://schemas.openxmlformats.org/officeDocument/2006/customXml" ds:itemID="{F1518F5E-70AE-4C74-AEDE-C95C6A8BAB43}"/>
</file>

<file path=customXml/itemProps5.xml><?xml version="1.0" encoding="utf-8"?>
<ds:datastoreItem xmlns:ds="http://schemas.openxmlformats.org/officeDocument/2006/customXml" ds:itemID="{3AA36DDF-0E3D-4088-829B-09E346364E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Costed WorkplanYEAR1</vt:lpstr>
      <vt:lpstr>персонал</vt:lpstr>
      <vt:lpstr>офис </vt:lpstr>
      <vt:lpstr>междун поездка</vt:lpstr>
      <vt:lpstr>встречи СКК и рабоч группы</vt:lpstr>
      <vt:lpstr>ориентационн тренинг</vt:lpstr>
      <vt:lpstr>тех поддержка</vt:lpstr>
      <vt:lpstr>надзорные визиты</vt:lpstr>
      <vt:lpstr>распечатки</vt:lpstr>
      <vt:lpstr>ПРООН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CCM FRunding proposal</dc:title>
  <dc:subject/>
  <dc:creator>Rene-Frederic Plain</dc:creator>
  <cp:lastModifiedBy>Lale Chopanova</cp:lastModifiedBy>
  <cp:lastPrinted>2017-04-12T11:41:40Z</cp:lastPrinted>
  <dcterms:created xsi:type="dcterms:W3CDTF">2016-10-13T12:32:43Z</dcterms:created>
  <dcterms:modified xsi:type="dcterms:W3CDTF">2017-05-03T12:13:53Z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196c2ac0-2f65-485b-a8e5-bc5011ea4652</vt:lpwstr>
  </property>
  <property fmtid="{D5CDD505-2E9C-101B-9397-08002B2CF9AE}" pid="3" name="ContentTypeId">
    <vt:lpwstr>0x010100F075C04BA242A84ABD3293E3AD35CDA400AB50428DC784B44FAACCAA5FAE40C0590045B5E632B552204ABF0E616DD66BDA0F</vt:lpwstr>
  </property>
  <property fmtid="{D5CDD505-2E9C-101B-9397-08002B2CF9AE}" pid="4" name="UNDPCountry">
    <vt:lpwstr>1114;#Countries|2f9ec5a1-3eec-45d6-8645-ed5d87180aba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 Languages">
    <vt:lpwstr>1;#English|7f98b732-4b5b-4b70-ba90-a0eff09b5d2d</vt:lpwstr>
  </property>
  <property fmtid="{D5CDD505-2E9C-101B-9397-08002B2CF9AE}" pid="8" name="Operating Unit0">
    <vt:lpwstr>1670;#TKM|8a730513-0bff-4437-96ef-14bf81511455</vt:lpwstr>
  </property>
  <property fmtid="{D5CDD505-2E9C-101B-9397-08002B2CF9AE}" pid="9" name="Atlas Document Status">
    <vt:lpwstr>763;#Draft|121d40a5-e62e-4d42-82e4-d6d12003de0a</vt:lpwstr>
  </property>
  <property fmtid="{D5CDD505-2E9C-101B-9397-08002B2CF9AE}" pid="10" name="Atlas Document Type">
    <vt:lpwstr>1110;#Prodoc|099f975e-b4d9-4bba-a499-dbcc387c61ad</vt:lpwstr>
  </property>
  <property fmtid="{D5CDD505-2E9C-101B-9397-08002B2CF9AE}" pid="11" name="eRegFilingCodeMM">
    <vt:lpwstr/>
  </property>
  <property fmtid="{D5CDD505-2E9C-101B-9397-08002B2CF9AE}" pid="12" name="UndpUnitMM">
    <vt:lpwstr/>
  </property>
  <property fmtid="{D5CDD505-2E9C-101B-9397-08002B2CF9AE}" pid="13" name="UNDPFocusAreas">
    <vt:lpwstr>227;#Democratic Governance|62461a33-f823-4f1a-904d-8e902184b1d7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